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270"/>
  </bookViews>
  <sheets>
    <sheet name="LDRRMFU Dec 31 2020 revised" sheetId="1" r:id="rId1"/>
  </sheets>
  <definedNames>
    <definedName name="_xlnm.Print_Area" localSheetId="0">'LDRRMFU Dec 31 2020 revised'!$A$1:$G$97</definedName>
    <definedName name="_xlnm.Print_Titles" localSheetId="0">'LDRRMFU Dec 31 2020 revised'!$7:$10</definedName>
  </definedNames>
  <calcPr calcId="144525"/>
</workbook>
</file>

<file path=xl/calcChain.xml><?xml version="1.0" encoding="utf-8"?>
<calcChain xmlns="http://schemas.openxmlformats.org/spreadsheetml/2006/main">
  <c r="F83" i="1" l="1"/>
  <c r="F84" i="1" s="1"/>
  <c r="E83" i="1"/>
  <c r="E84" i="1" s="1"/>
  <c r="D83" i="1"/>
  <c r="D84" i="1" s="1"/>
  <c r="C83" i="1"/>
  <c r="C84" i="1" s="1"/>
  <c r="G82" i="1"/>
  <c r="G81" i="1"/>
  <c r="G80" i="1"/>
  <c r="G79" i="1"/>
  <c r="B79" i="1"/>
  <c r="G78" i="1"/>
  <c r="B77" i="1"/>
  <c r="G77" i="1" s="1"/>
  <c r="G83" i="1" s="1"/>
  <c r="G84" i="1" s="1"/>
  <c r="D74" i="1"/>
  <c r="C74" i="1"/>
  <c r="B74" i="1"/>
  <c r="G73" i="1"/>
  <c r="F73" i="1"/>
  <c r="G72" i="1"/>
  <c r="F72" i="1"/>
  <c r="E72" i="1"/>
  <c r="F71" i="1"/>
  <c r="F74" i="1" s="1"/>
  <c r="E71" i="1"/>
  <c r="E74" i="1" s="1"/>
  <c r="F68" i="1"/>
  <c r="F86" i="1" s="1"/>
  <c r="E68" i="1"/>
  <c r="E86" i="1" s="1"/>
  <c r="D68" i="1"/>
  <c r="D89" i="1" s="1"/>
  <c r="C68" i="1"/>
  <c r="C86" i="1" s="1"/>
  <c r="B68" i="1"/>
  <c r="B86" i="1" s="1"/>
  <c r="G67" i="1"/>
  <c r="G66" i="1"/>
  <c r="G65" i="1"/>
  <c r="G68" i="1" s="1"/>
  <c r="G86" i="1" s="1"/>
  <c r="G63" i="1"/>
  <c r="F61" i="1"/>
  <c r="F62" i="1" s="1"/>
  <c r="E61" i="1"/>
  <c r="E62" i="1" s="1"/>
  <c r="D61" i="1"/>
  <c r="D62" i="1" s="1"/>
  <c r="B61" i="1"/>
  <c r="B62" i="1" s="1"/>
  <c r="C60" i="1"/>
  <c r="G60" i="1" s="1"/>
  <c r="I59" i="1"/>
  <c r="C59" i="1"/>
  <c r="G59" i="1" s="1"/>
  <c r="G58" i="1"/>
  <c r="C57" i="1"/>
  <c r="C61" i="1" s="1"/>
  <c r="G56" i="1"/>
  <c r="I54" i="1"/>
  <c r="F54" i="1"/>
  <c r="F55" i="1" s="1"/>
  <c r="E54" i="1"/>
  <c r="E85" i="1" s="1"/>
  <c r="E87" i="1" s="1"/>
  <c r="D54" i="1"/>
  <c r="D85" i="1" s="1"/>
  <c r="C54" i="1"/>
  <c r="B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I27" i="1"/>
  <c r="K27" i="1" s="1"/>
  <c r="G27" i="1"/>
  <c r="G26" i="1"/>
  <c r="K25" i="1"/>
  <c r="G25" i="1"/>
  <c r="K24" i="1"/>
  <c r="G24" i="1"/>
  <c r="K23" i="1"/>
  <c r="G23" i="1"/>
  <c r="G54" i="1" s="1"/>
  <c r="K20" i="1"/>
  <c r="D20" i="1"/>
  <c r="L18" i="1"/>
  <c r="K18" i="1"/>
  <c r="E18" i="1"/>
  <c r="E89" i="1" s="1"/>
  <c r="G17" i="1"/>
  <c r="L16" i="1"/>
  <c r="F18" i="1" s="1"/>
  <c r="G16" i="1"/>
  <c r="G15" i="1"/>
  <c r="G14" i="1"/>
  <c r="C13" i="1"/>
  <c r="C20" i="1" s="1"/>
  <c r="N12" i="1"/>
  <c r="N13" i="1" s="1"/>
  <c r="F19" i="1" s="1"/>
  <c r="G12" i="1"/>
  <c r="C12" i="1"/>
  <c r="C55" i="1" s="1"/>
  <c r="B12" i="1"/>
  <c r="B55" i="1" s="1"/>
  <c r="P11" i="1"/>
  <c r="E19" i="1" s="1"/>
  <c r="F20" i="1" l="1"/>
  <c r="G18" i="1"/>
  <c r="F69" i="1"/>
  <c r="F89" i="1"/>
  <c r="B85" i="1"/>
  <c r="D88" i="1"/>
  <c r="E88" i="1"/>
  <c r="E75" i="1"/>
  <c r="G19" i="1"/>
  <c r="F75" i="1"/>
  <c r="G85" i="1"/>
  <c r="G87" i="1" s="1"/>
  <c r="C85" i="1"/>
  <c r="P13" i="1"/>
  <c r="I26" i="1"/>
  <c r="G55" i="1"/>
  <c r="E69" i="1"/>
  <c r="B83" i="1"/>
  <c r="B84" i="1" s="1"/>
  <c r="F85" i="1"/>
  <c r="F87" i="1" s="1"/>
  <c r="D86" i="1"/>
  <c r="D87" i="1" s="1"/>
  <c r="B89" i="1"/>
  <c r="E20" i="1"/>
  <c r="E90" i="1" s="1"/>
  <c r="D55" i="1"/>
  <c r="C62" i="1"/>
  <c r="G71" i="1"/>
  <c r="G74" i="1" s="1"/>
  <c r="C89" i="1"/>
  <c r="G13" i="1"/>
  <c r="G62" i="1" s="1"/>
  <c r="B20" i="1"/>
  <c r="B90" i="1" s="1"/>
  <c r="E55" i="1"/>
  <c r="G57" i="1"/>
  <c r="G61" i="1" s="1"/>
  <c r="I28" i="1" l="1"/>
  <c r="K26" i="1"/>
  <c r="G20" i="1"/>
  <c r="G90" i="1" s="1"/>
  <c r="G69" i="1"/>
  <c r="G89" i="1"/>
  <c r="B88" i="1"/>
  <c r="B87" i="1"/>
  <c r="F88" i="1"/>
  <c r="D90" i="1"/>
  <c r="F90" i="1"/>
  <c r="C88" i="1"/>
  <c r="C87" i="1"/>
  <c r="G88" i="1"/>
  <c r="G75" i="1"/>
  <c r="C90" i="1"/>
</calcChain>
</file>

<file path=xl/comments1.xml><?xml version="1.0" encoding="utf-8"?>
<comments xmlns="http://schemas.openxmlformats.org/spreadsheetml/2006/main">
  <authors>
    <author>a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IREVISED ITO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City of Makati - P 200K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City of Makati - P 200K</t>
        </r>
      </text>
    </comment>
  </commentList>
</comments>
</file>

<file path=xl/sharedStrings.xml><?xml version="1.0" encoding="utf-8"?>
<sst xmlns="http://schemas.openxmlformats.org/spreadsheetml/2006/main" count="160" uniqueCount="124">
  <si>
    <t>FDP Form 8 - Local Disaster Risk Reduction and Management Fund Utilization</t>
  </si>
  <si>
    <t>(Commission on Audit Form)</t>
  </si>
  <si>
    <t>LOCAL DISASTER RISK REDUCTION AND MANAGEMENT FUND UTILIZATION</t>
  </si>
  <si>
    <t>As of December 31, 2020</t>
  </si>
  <si>
    <r>
      <t xml:space="preserve">City : </t>
    </r>
    <r>
      <rPr>
        <u/>
        <sz val="10"/>
        <color theme="1"/>
        <rFont val="Calibri"/>
        <family val="2"/>
        <scheme val="minor"/>
      </rPr>
      <t>TUGUEGARAO</t>
    </r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</si>
  <si>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</si>
  <si>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</si>
  <si>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</si>
  <si>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</si>
  <si>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</si>
  <si>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</si>
  <si>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</si>
  <si>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</si>
  <si>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From Other Sources</t>
  </si>
  <si>
    <t>Realigned - Covid</t>
  </si>
  <si>
    <t>NDRRM TRUST LIABILITY</t>
  </si>
  <si>
    <t>A. Sources of Funds</t>
  </si>
  <si>
    <t>LBP - Ompong</t>
  </si>
  <si>
    <t>Office of the President  - T. Ulysses</t>
  </si>
  <si>
    <t>Diff LGUs</t>
  </si>
  <si>
    <t xml:space="preserve">     Current Appropriations</t>
  </si>
  <si>
    <t>LBP-Tisoy</t>
  </si>
  <si>
    <t>Donations from Various Donors - T Ulysses</t>
  </si>
  <si>
    <t xml:space="preserve">     Continuing Appropriations</t>
  </si>
  <si>
    <t>City of Makati Lawin</t>
  </si>
  <si>
    <t>Theodor E. Stoops Tisoy</t>
  </si>
  <si>
    <t xml:space="preserve">     Previous Years' Appropriations Transferred to the Special Trust Fund</t>
  </si>
  <si>
    <t>PCSO  Calamity Assistance</t>
  </si>
  <si>
    <t xml:space="preserve">                   (Year 2017)</t>
  </si>
  <si>
    <t>Office of the President T. Quiel &amp; Ramon</t>
  </si>
  <si>
    <t xml:space="preserve">                   (Year 2018)</t>
  </si>
  <si>
    <t xml:space="preserve">                   (Year 2019)</t>
  </si>
  <si>
    <t xml:space="preserve">       Transfer/Grants - Prev Typhoon Realligned for COVID</t>
  </si>
  <si>
    <t>Food Assistance</t>
  </si>
  <si>
    <t xml:space="preserve">       Transfer/Grants - Typhoon </t>
  </si>
  <si>
    <t xml:space="preserve">       Total Funds Available</t>
  </si>
  <si>
    <t>Multi-Vitamins</t>
  </si>
  <si>
    <t>B. Utilization</t>
  </si>
  <si>
    <t>Supplies</t>
  </si>
  <si>
    <t>Hygine Kit</t>
  </si>
  <si>
    <t>January 2021 Utilization</t>
  </si>
  <si>
    <t xml:space="preserve">   B.1  Utilization - Current Appropriation</t>
  </si>
  <si>
    <t>Alcohol</t>
  </si>
  <si>
    <t>Diff LGUS</t>
  </si>
  <si>
    <t>OTHER SOURCES</t>
  </si>
  <si>
    <t>30% Quick Response Fund</t>
  </si>
  <si>
    <t>Receipts</t>
  </si>
  <si>
    <t>Various grocery items for relief operations</t>
  </si>
  <si>
    <t>Bags of Rice for relief operations</t>
  </si>
  <si>
    <t>Eco bag - Relief</t>
  </si>
  <si>
    <t>Medical Supplies, nipa kubo, medical personal protective equipment, thermal scanner</t>
  </si>
  <si>
    <t>Groceries - Relief</t>
  </si>
  <si>
    <t>Food assistance - front liners and PUMS</t>
  </si>
  <si>
    <t>Financial Assistance</t>
  </si>
  <si>
    <t>Communication Equipment</t>
  </si>
  <si>
    <t>Well Milled Rice - Relief</t>
  </si>
  <si>
    <t>Room Accomodation (Quarantine Facility)</t>
  </si>
  <si>
    <t>Disinfetants Supplies, Etc</t>
  </si>
  <si>
    <t>Total Utilization</t>
  </si>
  <si>
    <t>70% Disaster Risk Reduction and Management Fund</t>
  </si>
  <si>
    <t>Balance</t>
  </si>
  <si>
    <t>Thematic Area I - Prevention and Mitigation</t>
  </si>
  <si>
    <t>a. DRR and CCA Mainstreamed in Various Plan, laws, Policies and Ordinances</t>
  </si>
  <si>
    <t>b. Risk Transfer Mechanism</t>
  </si>
  <si>
    <t>c. Information and Education Campaign</t>
  </si>
  <si>
    <t>December 2020 Utilization</t>
  </si>
  <si>
    <t>d. Climate Change Resiliency &amp; DRM Program</t>
  </si>
  <si>
    <t>e. Community Based Early Warning Device</t>
  </si>
  <si>
    <t>Thematic Area II - Preparedness</t>
  </si>
  <si>
    <t>a. Capacity/Capability Building</t>
  </si>
  <si>
    <t>b. Maintenance and Equipage of DRRM Multi-Purpose Emergency Command Ctr</t>
  </si>
  <si>
    <t>c. Provision of Personal, Protective Equipment</t>
  </si>
  <si>
    <t>d. Stockpiling of Non-Food nadn Food Items and Emergency Transport Equipment</t>
  </si>
  <si>
    <t>e. Strengthening Disaster Risk  Reduction and Management Operations</t>
  </si>
  <si>
    <t>f. Annual DRRM-CCA Special Events, Competition and Conventions</t>
  </si>
  <si>
    <t>g. Disaster Risk Management Financial Logistics</t>
  </si>
  <si>
    <t>h. DRRM Monitoring &amp; Communication Equipment</t>
  </si>
  <si>
    <t>i. DRRM-CCA Big Brother Program</t>
  </si>
  <si>
    <t>Thematic Area III - Response</t>
  </si>
  <si>
    <t>a. Search, Rescue and Retrieval Operations and Emergency Medical Services</t>
  </si>
  <si>
    <t>b. Emergency Assistance</t>
  </si>
  <si>
    <t>Thematic Area IV - Rehabilitation and Recovery</t>
  </si>
  <si>
    <t>a. Assistance to Displaced and Affected Individual/ Community / Family</t>
  </si>
  <si>
    <t>b. Provisions of Agricultural/Livestock Rehabilitation Program</t>
  </si>
  <si>
    <t>Sub-Total -Utilization of Current Appropriation</t>
  </si>
  <si>
    <t>Sub-Total -Balance of Current Appropriation</t>
  </si>
  <si>
    <t xml:space="preserve">   B.2  Utilization - Continuing Appropriation</t>
  </si>
  <si>
    <t>Provision of Disaster and Rescue , Search and Emergency Transport Equipment</t>
  </si>
  <si>
    <t>Personal Protective Equipment for Rescuers</t>
  </si>
  <si>
    <t>Provision of Personal Protective Equip Tools &amp; gadgets Paraphernalias</t>
  </si>
  <si>
    <t xml:space="preserve">Equipage and Construction of DRRM Multi-Purpose Emergency Command Ctr. (Fiber Optic Network) </t>
  </si>
  <si>
    <t>Sub-Total -Utilization of Continuing Appropriation</t>
  </si>
  <si>
    <t>Sub-Total -Balance of Continuing Appropriation</t>
  </si>
  <si>
    <t xml:space="preserve">   B.2  Utilization - Transfer/ Grants</t>
  </si>
  <si>
    <t xml:space="preserve">   B.3.1  Utilization - Transfer/ Grants Prev Typhoon Realligned for COVID</t>
  </si>
  <si>
    <t>Food Assistance - COVID</t>
  </si>
  <si>
    <t>Sub-Total -Utilization of Transfer/ Grants from  Prev Typhoon Realligned for COVID</t>
  </si>
  <si>
    <t>Sub-Total -Balance of Transfer/ Grants from Prev Typhoon Realligned for COVID</t>
  </si>
  <si>
    <t xml:space="preserve">   B.3.2  Utilization - Transfer/ Grants - Typhoon </t>
  </si>
  <si>
    <t>Eco Bag  for Relief Operations</t>
  </si>
  <si>
    <t>Groceries for Relief Operations</t>
  </si>
  <si>
    <t>Food Assistance - Typhoon</t>
  </si>
  <si>
    <t>Sub-Total -Utilization of Transfer/ Grants - Typhoon</t>
  </si>
  <si>
    <t>Sub-Total -Balance of Transfer/ Grants - Typhoon</t>
  </si>
  <si>
    <t xml:space="preserve">   B.4  Utilization - Special Trust Fund</t>
  </si>
  <si>
    <t>Decontamination Tent, PPEs, Ioxide</t>
  </si>
  <si>
    <t>Fuel</t>
  </si>
  <si>
    <t>Well Milled Rice for Relief Operations</t>
  </si>
  <si>
    <t>Plastic Bag</t>
  </si>
  <si>
    <t>Sub-Total -Utilization of Special Trust Fund</t>
  </si>
  <si>
    <t>Sub Total Unutilized Balance of Special Trust Fund</t>
  </si>
  <si>
    <t>Total Utilization - Typhoon</t>
  </si>
  <si>
    <t>Total Utilization - COVID</t>
  </si>
  <si>
    <t>Grand Total Utilization</t>
  </si>
  <si>
    <t>Unutilized Balance - Typhoon</t>
  </si>
  <si>
    <t>Unutilized Balance - COVID</t>
  </si>
  <si>
    <t>Total Unutilized Balance</t>
  </si>
  <si>
    <t xml:space="preserve">We hereby certify that we have reviewed the contents and hereby attest to the veracity and correctness of tha data or information contained in this document.
</t>
  </si>
  <si>
    <t>CDRRMO Chief</t>
  </si>
  <si>
    <t>Local Accountant</t>
  </si>
  <si>
    <t>Local Chief Executive</t>
  </si>
  <si>
    <t>(sgd) MARIA SOLEDAD M. SAPP</t>
  </si>
  <si>
    <t>(sgd) JOSEPHINE B. NAGUI, CPA</t>
  </si>
  <si>
    <t>(sgd) ATTY. JEFFERSON P. SORIANO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</si>
</sst>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FF0000"/>
      <name val="Calibri"/>
      <family val="2"/>
    </font>
    <font>
      <sz val="8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3" fillId="0" borderId="0"/>
  </cellStyleXfs>
  <cellXfs count="123">
    <xf numFmtId="0" fontId="0" fillId="0" borderId="0" xfId="0"/>
    <xf numFmtId="0" fontId="3" fillId="0" borderId="0" xfId="0" applyFont="1" applyFill="1" applyAlignment="1">
      <alignment horizontal="left"/>
    </xf>
    <xf numFmtId="0" fontId="0" fillId="0" borderId="0" xfId="0" applyFill="1"/>
    <xf numFmtId="43" fontId="4" fillId="0" borderId="0" xfId="1" applyFont="1" applyFill="1"/>
    <xf numFmtId="43" fontId="0" fillId="0" borderId="0" xfId="1" applyFont="1" applyFill="1"/>
    <xf numFmtId="43" fontId="0" fillId="0" borderId="0" xfId="1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3" fontId="0" fillId="2" borderId="0" xfId="1" applyFont="1" applyFill="1"/>
    <xf numFmtId="0" fontId="6" fillId="0" borderId="1" xfId="0" applyFont="1" applyFill="1" applyBorder="1" applyAlignment="1"/>
    <xf numFmtId="0" fontId="6" fillId="0" borderId="1" xfId="0" applyFont="1" applyFill="1" applyBorder="1"/>
    <xf numFmtId="0" fontId="6" fillId="0" borderId="0" xfId="0" applyFont="1" applyFill="1"/>
    <xf numFmtId="0" fontId="4" fillId="0" borderId="0" xfId="0" applyFont="1" applyFill="1"/>
    <xf numFmtId="43" fontId="6" fillId="0" borderId="0" xfId="1" applyFont="1" applyFill="1" applyAlignment="1">
      <alignment horizontal="center" wrapText="1"/>
    </xf>
    <xf numFmtId="43" fontId="6" fillId="0" borderId="0" xfId="1" applyFont="1" applyFill="1" applyAlignment="1">
      <alignment horizontal="left" wrapText="1"/>
    </xf>
    <xf numFmtId="0" fontId="6" fillId="0" borderId="0" xfId="0" applyFont="1" applyFill="1" applyAlignment="1">
      <alignment horizontal="center"/>
    </xf>
    <xf numFmtId="43" fontId="6" fillId="0" borderId="1" xfId="1" applyFont="1" applyFill="1" applyBorder="1"/>
    <xf numFmtId="0" fontId="6" fillId="0" borderId="0" xfId="0" applyFont="1" applyFill="1" applyAlignment="1">
      <alignment horizontal="left"/>
    </xf>
    <xf numFmtId="43" fontId="6" fillId="0" borderId="0" xfId="1" applyFont="1" applyFill="1" applyAlignment="1">
      <alignment horizontal="center"/>
    </xf>
    <xf numFmtId="43" fontId="6" fillId="0" borderId="0" xfId="1" applyFont="1" applyFill="1" applyAlignment="1">
      <alignment horizontal="left"/>
    </xf>
    <xf numFmtId="43" fontId="6" fillId="0" borderId="0" xfId="1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43" fontId="0" fillId="0" borderId="0" xfId="1" applyFont="1" applyFill="1" applyBorder="1"/>
    <xf numFmtId="0" fontId="6" fillId="0" borderId="2" xfId="0" applyFont="1" applyFill="1" applyBorder="1" applyAlignment="1">
      <alignment vertical="top" wrapText="1"/>
    </xf>
    <xf numFmtId="43" fontId="6" fillId="0" borderId="2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/>
    </xf>
    <xf numFmtId="43" fontId="6" fillId="0" borderId="1" xfId="1" applyFont="1" applyFill="1" applyBorder="1" applyAlignment="1">
      <alignment vertical="center" wrapText="1"/>
    </xf>
    <xf numFmtId="43" fontId="9" fillId="0" borderId="0" xfId="1" applyFont="1" applyFill="1"/>
    <xf numFmtId="43" fontId="0" fillId="0" borderId="0" xfId="1" applyFont="1" applyFill="1" applyBorder="1" applyAlignment="1">
      <alignment horizontal="left"/>
    </xf>
    <xf numFmtId="43" fontId="10" fillId="0" borderId="0" xfId="1" applyFont="1" applyFill="1" applyBorder="1"/>
    <xf numFmtId="0" fontId="6" fillId="0" borderId="4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6" fillId="0" borderId="5" xfId="1" applyFont="1" applyFill="1" applyBorder="1" applyAlignment="1">
      <alignment vertical="center" wrapText="1"/>
    </xf>
    <xf numFmtId="43" fontId="9" fillId="0" borderId="1" xfId="1" applyFont="1" applyFill="1" applyBorder="1" applyAlignment="1">
      <alignment vertical="center" wrapText="1"/>
    </xf>
    <xf numFmtId="43" fontId="5" fillId="0" borderId="1" xfId="1" applyFont="1" applyFill="1" applyBorder="1" applyAlignment="1"/>
    <xf numFmtId="43" fontId="0" fillId="3" borderId="0" xfId="1" applyFont="1" applyFill="1" applyBorder="1"/>
    <xf numFmtId="43" fontId="6" fillId="0" borderId="1" xfId="1" applyFont="1" applyFill="1" applyBorder="1" applyAlignment="1"/>
    <xf numFmtId="0" fontId="11" fillId="0" borderId="6" xfId="0" applyFont="1" applyFill="1" applyBorder="1" applyAlignment="1">
      <alignment horizontal="left"/>
    </xf>
    <xf numFmtId="43" fontId="11" fillId="0" borderId="1" xfId="1" applyFont="1" applyFill="1" applyBorder="1" applyAlignment="1">
      <alignment vertical="center"/>
    </xf>
    <xf numFmtId="0" fontId="12" fillId="0" borderId="6" xfId="0" applyFont="1" applyFill="1" applyBorder="1" applyAlignment="1">
      <alignment horizontal="center"/>
    </xf>
    <xf numFmtId="43" fontId="13" fillId="0" borderId="1" xfId="1" applyFont="1" applyFill="1" applyBorder="1" applyAlignment="1">
      <alignment vertical="center"/>
    </xf>
    <xf numFmtId="43" fontId="0" fillId="3" borderId="0" xfId="1" applyFont="1" applyFill="1"/>
    <xf numFmtId="0" fontId="11" fillId="0" borderId="7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left"/>
    </xf>
    <xf numFmtId="43" fontId="14" fillId="0" borderId="1" xfId="1" applyFont="1" applyFill="1" applyBorder="1" applyAlignment="1">
      <alignment vertical="center"/>
    </xf>
    <xf numFmtId="9" fontId="0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43" fontId="12" fillId="0" borderId="6" xfId="1" applyFont="1" applyFill="1" applyBorder="1" applyAlignment="1">
      <alignment horizontal="left"/>
    </xf>
    <xf numFmtId="43" fontId="12" fillId="0" borderId="1" xfId="1" applyFont="1" applyFill="1" applyBorder="1" applyAlignment="1">
      <alignment vertical="center"/>
    </xf>
    <xf numFmtId="0" fontId="6" fillId="3" borderId="0" xfId="0" applyFont="1" applyFill="1"/>
    <xf numFmtId="43" fontId="4" fillId="3" borderId="0" xfId="1" applyFont="1" applyFill="1"/>
    <xf numFmtId="43" fontId="6" fillId="3" borderId="0" xfId="1" applyFont="1" applyFill="1"/>
    <xf numFmtId="43" fontId="6" fillId="3" borderId="0" xfId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12" fillId="0" borderId="6" xfId="0" applyFont="1" applyFill="1" applyBorder="1" applyAlignment="1">
      <alignment horizontal="left"/>
    </xf>
    <xf numFmtId="0" fontId="5" fillId="3" borderId="0" xfId="0" applyFont="1" applyFill="1"/>
    <xf numFmtId="43" fontId="15" fillId="3" borderId="0" xfId="1" applyFont="1" applyFill="1"/>
    <xf numFmtId="43" fontId="5" fillId="3" borderId="0" xfId="1" applyFont="1" applyFill="1"/>
    <xf numFmtId="43" fontId="5" fillId="3" borderId="0" xfId="1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5" fillId="0" borderId="0" xfId="0" applyFont="1" applyFill="1"/>
    <xf numFmtId="43" fontId="15" fillId="0" borderId="0" xfId="1" applyFont="1" applyFill="1"/>
    <xf numFmtId="43" fontId="5" fillId="0" borderId="0" xfId="1" applyFont="1" applyFill="1"/>
    <xf numFmtId="43" fontId="5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4" borderId="0" xfId="0" applyFont="1" applyFill="1"/>
    <xf numFmtId="43" fontId="4" fillId="4" borderId="0" xfId="1" applyFont="1" applyFill="1"/>
    <xf numFmtId="43" fontId="6" fillId="4" borderId="0" xfId="1" applyFont="1" applyFill="1"/>
    <xf numFmtId="43" fontId="6" fillId="4" borderId="0" xfId="1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11" fillId="0" borderId="8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43" fontId="12" fillId="0" borderId="10" xfId="1" applyFont="1" applyFill="1" applyBorder="1" applyAlignment="1">
      <alignment vertical="center"/>
    </xf>
    <xf numFmtId="0" fontId="12" fillId="5" borderId="9" xfId="0" applyFont="1" applyFill="1" applyBorder="1" applyAlignment="1">
      <alignment horizontal="left"/>
    </xf>
    <xf numFmtId="43" fontId="12" fillId="5" borderId="10" xfId="1" applyFont="1" applyFill="1" applyBorder="1" applyAlignment="1">
      <alignment vertical="center"/>
    </xf>
    <xf numFmtId="0" fontId="6" fillId="5" borderId="0" xfId="0" applyFont="1" applyFill="1"/>
    <xf numFmtId="43" fontId="4" fillId="5" borderId="0" xfId="1" applyFont="1" applyFill="1"/>
    <xf numFmtId="43" fontId="6" fillId="5" borderId="0" xfId="1" applyFont="1" applyFill="1"/>
    <xf numFmtId="43" fontId="6" fillId="5" borderId="0" xfId="1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3" fillId="0" borderId="0" xfId="0" applyFont="1" applyFill="1" applyAlignment="1"/>
    <xf numFmtId="43" fontId="3" fillId="0" borderId="0" xfId="0" applyNumberFormat="1" applyFont="1" applyFill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3" fontId="20" fillId="0" borderId="0" xfId="1" applyFont="1" applyFill="1" applyAlignment="1">
      <alignment horizontal="center"/>
    </xf>
    <xf numFmtId="43" fontId="18" fillId="0" borderId="0" xfId="1" applyFont="1" applyFill="1" applyAlignment="1">
      <alignment horizontal="center"/>
    </xf>
    <xf numFmtId="43" fontId="18" fillId="0" borderId="0" xfId="1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U97"/>
  <sheetViews>
    <sheetView tabSelected="1" view="pageBreakPreview" zoomScaleNormal="100" zoomScaleSheetLayoutView="100" workbookViewId="0">
      <selection activeCell="B95" sqref="B95"/>
    </sheetView>
  </sheetViews>
  <sheetFormatPr defaultRowHeight="15" x14ac:dyDescent="0.25"/>
  <cols>
    <col min="1" max="1" width="66.140625" style="2" customWidth="1"/>
    <col min="2" max="2" width="15.140625" style="2" customWidth="1"/>
    <col min="3" max="4" width="14.7109375" style="2" customWidth="1"/>
    <col min="5" max="5" width="13.85546875" style="2" customWidth="1"/>
    <col min="6" max="6" width="14.7109375" style="2" customWidth="1"/>
    <col min="7" max="7" width="14.140625" style="2" customWidth="1"/>
    <col min="8" max="8" width="2.42578125" style="2" customWidth="1"/>
    <col min="9" max="9" width="27.7109375" style="3" customWidth="1"/>
    <col min="10" max="10" width="20.85546875" style="4" customWidth="1"/>
    <col min="11" max="11" width="34.7109375" style="5" customWidth="1"/>
    <col min="12" max="12" width="15.28515625" style="4" customWidth="1"/>
    <col min="13" max="13" width="35.28515625" style="4" customWidth="1"/>
    <col min="14" max="15" width="15.28515625" style="4" customWidth="1"/>
    <col min="16" max="16" width="15.28515625" style="6" customWidth="1"/>
    <col min="17" max="17" width="22.5703125" style="2" customWidth="1"/>
    <col min="18" max="18" width="16.140625" style="2" customWidth="1"/>
    <col min="19" max="19" width="23.42578125" style="2" customWidth="1"/>
    <col min="20" max="20" width="18.5703125" style="2" customWidth="1"/>
    <col min="21" max="16384" width="9.140625" style="2"/>
  </cols>
  <sheetData>
    <row r="1" spans="1:21" x14ac:dyDescent="0.25">
      <c r="A1" s="1" t="s">
        <v>0</v>
      </c>
      <c r="B1" s="1"/>
      <c r="C1" s="1"/>
      <c r="D1" s="1"/>
    </row>
    <row r="2" spans="1:21" x14ac:dyDescent="0.25">
      <c r="A2" s="7" t="s">
        <v>1</v>
      </c>
    </row>
    <row r="3" spans="1:21" x14ac:dyDescent="0.25">
      <c r="A3" s="8" t="s">
        <v>2</v>
      </c>
      <c r="B3" s="8"/>
      <c r="C3" s="8"/>
      <c r="D3" s="8"/>
      <c r="E3" s="8"/>
      <c r="F3" s="8"/>
      <c r="G3" s="8"/>
    </row>
    <row r="4" spans="1:21" x14ac:dyDescent="0.25">
      <c r="A4" s="9" t="s">
        <v>3</v>
      </c>
      <c r="B4" s="10"/>
      <c r="C4" s="10"/>
      <c r="D4" s="10"/>
      <c r="E4" s="10"/>
      <c r="F4" s="10"/>
      <c r="G4" s="10"/>
      <c r="H4" s="11"/>
    </row>
    <row r="6" spans="1:21" x14ac:dyDescent="0.25">
      <c r="A6" s="12" t="s">
        <v>4</v>
      </c>
      <c r="B6" s="12"/>
      <c r="C6" s="12"/>
      <c r="D6" s="12"/>
      <c r="E6" s="12"/>
      <c r="F6" s="12"/>
      <c r="G6" s="12"/>
    </row>
    <row r="7" spans="1:21" ht="15" customHeight="1" x14ac:dyDescent="0.25">
      <c r="A7" s="13" t="s">
        <v>5</v>
      </c>
      <c r="B7" s="14" t="s">
        <v>6</v>
      </c>
      <c r="C7" s="14"/>
      <c r="D7" s="13" t="s">
        <v>7</v>
      </c>
      <c r="E7" s="15" t="s">
        <v>8</v>
      </c>
      <c r="F7" s="16" t="s">
        <v>9</v>
      </c>
      <c r="G7" s="13" t="s">
        <v>10</v>
      </c>
      <c r="I7" s="17"/>
      <c r="J7" s="18"/>
      <c r="K7" s="19"/>
      <c r="L7" s="18"/>
      <c r="M7" s="18"/>
      <c r="N7" s="18"/>
      <c r="O7" s="18"/>
      <c r="P7" s="19"/>
      <c r="Q7" s="20"/>
      <c r="R7" s="20"/>
      <c r="S7" s="20"/>
    </row>
    <row r="8" spans="1:21" x14ac:dyDescent="0.25">
      <c r="A8" s="13"/>
      <c r="B8" s="21" t="s">
        <v>11</v>
      </c>
      <c r="C8" s="22" t="s">
        <v>12</v>
      </c>
      <c r="D8" s="23"/>
      <c r="E8" s="24"/>
      <c r="F8" s="13"/>
      <c r="G8" s="13"/>
      <c r="I8" s="17"/>
      <c r="J8" s="18"/>
      <c r="K8" s="19"/>
      <c r="L8" s="18"/>
      <c r="M8" s="18"/>
      <c r="N8" s="18"/>
      <c r="O8" s="18"/>
      <c r="P8" s="19"/>
      <c r="Q8" s="25"/>
      <c r="R8" s="25"/>
      <c r="S8" s="20"/>
    </row>
    <row r="9" spans="1:21" ht="28.5" customHeight="1" x14ac:dyDescent="0.25">
      <c r="A9" s="13"/>
      <c r="B9" s="26"/>
      <c r="C9" s="27"/>
      <c r="D9" s="23"/>
      <c r="E9" s="24"/>
      <c r="F9" s="13"/>
      <c r="G9" s="13"/>
      <c r="I9" s="17"/>
      <c r="J9" s="18" t="s">
        <v>8</v>
      </c>
      <c r="K9" s="19"/>
      <c r="L9" s="18" t="s">
        <v>8</v>
      </c>
      <c r="M9" s="18"/>
      <c r="N9" s="28" t="s">
        <v>13</v>
      </c>
      <c r="O9" s="28"/>
      <c r="P9" s="19" t="s">
        <v>8</v>
      </c>
      <c r="Q9" s="18"/>
      <c r="R9" s="18"/>
      <c r="S9" s="18"/>
    </row>
    <row r="10" spans="1:21" x14ac:dyDescent="0.25">
      <c r="A10" s="13"/>
      <c r="B10" s="26"/>
      <c r="C10" s="27"/>
      <c r="D10" s="29"/>
      <c r="E10" s="30"/>
      <c r="F10" s="13"/>
      <c r="G10" s="13"/>
      <c r="I10" s="17"/>
      <c r="J10" s="31" t="s">
        <v>14</v>
      </c>
      <c r="L10" s="31" t="s">
        <v>14</v>
      </c>
      <c r="N10" s="18"/>
      <c r="O10" s="18"/>
      <c r="P10" s="19"/>
      <c r="Q10" s="18" t="s">
        <v>15</v>
      </c>
      <c r="R10" s="18"/>
      <c r="S10" s="18"/>
    </row>
    <row r="11" spans="1:21" s="34" customFormat="1" ht="12.75" x14ac:dyDescent="0.2">
      <c r="A11" s="32" t="s">
        <v>16</v>
      </c>
      <c r="B11" s="33"/>
      <c r="C11" s="33"/>
      <c r="D11" s="33"/>
      <c r="E11" s="33"/>
      <c r="F11" s="33"/>
      <c r="G11" s="33"/>
      <c r="I11" s="35"/>
      <c r="J11" s="36"/>
      <c r="K11" s="37" t="s">
        <v>17</v>
      </c>
      <c r="L11" s="36">
        <v>70331</v>
      </c>
      <c r="M11" s="37" t="s">
        <v>18</v>
      </c>
      <c r="N11" s="36">
        <v>5000000</v>
      </c>
      <c r="O11" s="36" t="s">
        <v>19</v>
      </c>
      <c r="P11" s="37">
        <f>N23</f>
        <v>2875000</v>
      </c>
      <c r="Q11" s="36">
        <v>23464014</v>
      </c>
      <c r="R11" s="36"/>
      <c r="S11" s="36"/>
      <c r="T11" s="36"/>
      <c r="U11" s="38"/>
    </row>
    <row r="12" spans="1:21" s="34" customFormat="1" ht="12.75" x14ac:dyDescent="0.2">
      <c r="A12" s="33" t="s">
        <v>20</v>
      </c>
      <c r="B12" s="39">
        <f>53200000*0.3</f>
        <v>15960000</v>
      </c>
      <c r="C12" s="39">
        <f>53200000*0.7</f>
        <v>37240000</v>
      </c>
      <c r="D12" s="39"/>
      <c r="E12" s="39"/>
      <c r="F12" s="39"/>
      <c r="G12" s="39">
        <f>SUM(B12:F12)</f>
        <v>53200000</v>
      </c>
      <c r="I12" s="3"/>
      <c r="J12" s="38"/>
      <c r="K12" s="40" t="s">
        <v>21</v>
      </c>
      <c r="L12" s="41">
        <v>200000</v>
      </c>
      <c r="M12" s="42" t="s">
        <v>22</v>
      </c>
      <c r="N12" s="43">
        <f>P23</f>
        <v>5740402.4400000013</v>
      </c>
      <c r="O12" s="43"/>
      <c r="P12" s="42"/>
      <c r="R12" s="44"/>
      <c r="S12" s="45"/>
    </row>
    <row r="13" spans="1:21" s="34" customFormat="1" x14ac:dyDescent="0.25">
      <c r="A13" s="33" t="s">
        <v>23</v>
      </c>
      <c r="B13" s="39"/>
      <c r="C13" s="39">
        <f>34816848.37+5741883.65</f>
        <v>40558732.019999996</v>
      </c>
      <c r="D13" s="39"/>
      <c r="E13" s="39"/>
      <c r="F13" s="39"/>
      <c r="G13" s="39">
        <f t="shared" ref="G13:G19" si="0">SUM(B13:F13)</f>
        <v>40558732.019999996</v>
      </c>
      <c r="I13" s="3" t="s">
        <v>24</v>
      </c>
      <c r="J13" s="4">
        <v>200000</v>
      </c>
      <c r="K13" s="5" t="s">
        <v>25</v>
      </c>
      <c r="L13" s="4">
        <v>100000</v>
      </c>
      <c r="M13" s="5"/>
      <c r="N13" s="4">
        <f>+N11+N12</f>
        <v>10740402.440000001</v>
      </c>
      <c r="O13" s="4"/>
      <c r="P13" s="5">
        <f>+P11</f>
        <v>2875000</v>
      </c>
      <c r="Q13" s="4"/>
      <c r="R13" s="46"/>
      <c r="S13" s="46"/>
      <c r="T13" s="4"/>
    </row>
    <row r="14" spans="1:21" s="34" customFormat="1" ht="15.75" customHeight="1" x14ac:dyDescent="0.2">
      <c r="A14" s="47" t="s">
        <v>26</v>
      </c>
      <c r="B14" s="48"/>
      <c r="C14" s="48"/>
      <c r="D14" s="48"/>
      <c r="E14" s="48"/>
      <c r="F14" s="48"/>
      <c r="G14" s="39">
        <f t="shared" si="0"/>
        <v>0</v>
      </c>
      <c r="K14" s="40" t="s">
        <v>27</v>
      </c>
      <c r="L14" s="43">
        <v>1500000</v>
      </c>
      <c r="M14" s="42"/>
      <c r="N14" s="43"/>
      <c r="O14" s="43"/>
      <c r="P14" s="42"/>
      <c r="R14" s="45"/>
      <c r="S14" s="45"/>
    </row>
    <row r="15" spans="1:21" s="34" customFormat="1" ht="14.45" customHeight="1" x14ac:dyDescent="0.2">
      <c r="A15" s="49" t="s">
        <v>28</v>
      </c>
      <c r="B15" s="50"/>
      <c r="C15" s="50">
        <v>134160.26</v>
      </c>
      <c r="D15" s="50"/>
      <c r="E15" s="50"/>
      <c r="F15" s="50"/>
      <c r="G15" s="39">
        <f t="shared" si="0"/>
        <v>134160.26</v>
      </c>
      <c r="K15" s="40" t="s">
        <v>29</v>
      </c>
      <c r="L15" s="51">
        <v>5000000</v>
      </c>
      <c r="M15" s="42"/>
      <c r="N15" s="43"/>
      <c r="O15" s="43"/>
      <c r="P15" s="42"/>
      <c r="R15" s="45"/>
      <c r="S15" s="45"/>
    </row>
    <row r="16" spans="1:21" s="34" customFormat="1" ht="14.45" customHeight="1" x14ac:dyDescent="0.25">
      <c r="A16" s="49" t="s">
        <v>30</v>
      </c>
      <c r="B16" s="50"/>
      <c r="C16" s="50">
        <v>2489.73</v>
      </c>
      <c r="D16" s="50"/>
      <c r="E16" s="50"/>
      <c r="F16" s="50"/>
      <c r="G16" s="39">
        <f t="shared" si="0"/>
        <v>2489.73</v>
      </c>
      <c r="J16" s="46"/>
      <c r="K16" s="40"/>
      <c r="L16" s="51">
        <f>SUM(L11:L15)</f>
        <v>6870331</v>
      </c>
      <c r="M16" s="42"/>
      <c r="N16" s="43"/>
      <c r="O16" s="43"/>
      <c r="P16" s="42"/>
      <c r="R16" s="45"/>
      <c r="S16" s="45"/>
    </row>
    <row r="17" spans="1:19" s="34" customFormat="1" ht="14.45" customHeight="1" x14ac:dyDescent="0.25">
      <c r="A17" s="49" t="s">
        <v>31</v>
      </c>
      <c r="B17" s="50">
        <v>14715098.74</v>
      </c>
      <c r="C17" s="50">
        <v>75750.009999999995</v>
      </c>
      <c r="D17" s="50"/>
      <c r="E17" s="50"/>
      <c r="F17" s="50"/>
      <c r="G17" s="39">
        <f t="shared" si="0"/>
        <v>14790848.75</v>
      </c>
      <c r="I17" s="3"/>
      <c r="K17" s="52"/>
      <c r="L17" s="53"/>
      <c r="M17" s="52"/>
      <c r="N17" s="46"/>
      <c r="O17" s="46"/>
      <c r="P17" s="52"/>
      <c r="R17" s="45"/>
      <c r="S17" s="45"/>
    </row>
    <row r="18" spans="1:19" s="34" customFormat="1" x14ac:dyDescent="0.25">
      <c r="A18" s="54" t="s">
        <v>32</v>
      </c>
      <c r="B18" s="55"/>
      <c r="C18" s="56"/>
      <c r="D18" s="55"/>
      <c r="E18" s="57">
        <f>J13</f>
        <v>200000</v>
      </c>
      <c r="F18" s="55">
        <f>L16</f>
        <v>6870331</v>
      </c>
      <c r="G18" s="39">
        <f t="shared" si="0"/>
        <v>7070331</v>
      </c>
      <c r="I18" s="3" t="s">
        <v>33</v>
      </c>
      <c r="J18" s="46"/>
      <c r="K18" s="52" t="str">
        <f>I18</f>
        <v>Food Assistance</v>
      </c>
      <c r="L18" s="53">
        <f>-1186800</f>
        <v>-1186800</v>
      </c>
      <c r="M18" s="52"/>
      <c r="N18" s="46"/>
      <c r="O18" s="46"/>
      <c r="P18" s="52"/>
      <c r="R18" s="45"/>
      <c r="S18" s="45"/>
    </row>
    <row r="19" spans="1:19" s="34" customFormat="1" x14ac:dyDescent="0.25">
      <c r="A19" s="54" t="s">
        <v>34</v>
      </c>
      <c r="B19" s="55"/>
      <c r="C19" s="56"/>
      <c r="D19" s="55">
        <v>23464014</v>
      </c>
      <c r="E19" s="57">
        <f>P11</f>
        <v>2875000</v>
      </c>
      <c r="F19" s="55">
        <f>N13</f>
        <v>10740402.440000001</v>
      </c>
      <c r="G19" s="39">
        <f t="shared" si="0"/>
        <v>37079416.439999998</v>
      </c>
      <c r="I19" s="3" t="s">
        <v>33</v>
      </c>
      <c r="J19" s="46"/>
      <c r="K19" s="52"/>
      <c r="L19" s="53"/>
      <c r="M19" s="52"/>
      <c r="N19" s="46"/>
      <c r="O19" s="46"/>
      <c r="P19" s="52"/>
      <c r="R19" s="45"/>
      <c r="S19" s="45"/>
    </row>
    <row r="20" spans="1:19" s="34" customFormat="1" x14ac:dyDescent="0.25">
      <c r="A20" s="32" t="s">
        <v>35</v>
      </c>
      <c r="B20" s="58">
        <f>SUM(B12:B19)</f>
        <v>30675098.740000002</v>
      </c>
      <c r="C20" s="58">
        <f t="shared" ref="C20:G20" si="1">SUM(C12:C19)</f>
        <v>78011132.020000011</v>
      </c>
      <c r="D20" s="58">
        <f t="shared" si="1"/>
        <v>23464014</v>
      </c>
      <c r="E20" s="58">
        <f t="shared" si="1"/>
        <v>3075000</v>
      </c>
      <c r="F20" s="58">
        <f t="shared" si="1"/>
        <v>17610733.440000001</v>
      </c>
      <c r="G20" s="58">
        <f t="shared" si="1"/>
        <v>152835978.19999999</v>
      </c>
      <c r="I20" s="3" t="s">
        <v>36</v>
      </c>
      <c r="J20" s="46"/>
      <c r="K20" s="52" t="str">
        <f t="shared" ref="K20:K27" si="2">I20</f>
        <v>Multi-Vitamins</v>
      </c>
      <c r="L20" s="59">
        <v>-745500</v>
      </c>
      <c r="M20" s="46"/>
      <c r="N20" s="46"/>
      <c r="O20" s="46"/>
      <c r="P20" s="52"/>
      <c r="R20" s="45"/>
      <c r="S20" s="45"/>
    </row>
    <row r="21" spans="1:19" s="34" customFormat="1" x14ac:dyDescent="0.25">
      <c r="A21" s="32" t="s">
        <v>37</v>
      </c>
      <c r="B21" s="60"/>
      <c r="C21" s="60"/>
      <c r="D21" s="60"/>
      <c r="E21" s="60"/>
      <c r="F21" s="60"/>
      <c r="G21" s="60"/>
      <c r="I21" s="3" t="s">
        <v>38</v>
      </c>
      <c r="J21" s="46"/>
      <c r="K21" s="52" t="s">
        <v>39</v>
      </c>
      <c r="L21" s="59">
        <v>-750000</v>
      </c>
      <c r="M21" s="46" t="s">
        <v>40</v>
      </c>
      <c r="N21" s="46"/>
      <c r="O21" s="46"/>
      <c r="P21" s="52"/>
      <c r="R21" s="45"/>
      <c r="S21" s="45"/>
    </row>
    <row r="22" spans="1:19" s="34" customFormat="1" x14ac:dyDescent="0.25">
      <c r="A22" s="61" t="s">
        <v>41</v>
      </c>
      <c r="B22" s="62"/>
      <c r="C22" s="62"/>
      <c r="D22" s="62"/>
      <c r="E22" s="62"/>
      <c r="F22" s="62"/>
      <c r="G22" s="62"/>
      <c r="I22" s="3"/>
      <c r="J22" s="46"/>
      <c r="K22" s="52" t="s">
        <v>42</v>
      </c>
      <c r="L22" s="59">
        <v>-4500</v>
      </c>
      <c r="M22" s="46"/>
      <c r="N22" s="43" t="s">
        <v>43</v>
      </c>
      <c r="O22" s="43"/>
      <c r="P22" s="42" t="s">
        <v>44</v>
      </c>
      <c r="R22" s="45"/>
      <c r="S22" s="45"/>
    </row>
    <row r="23" spans="1:19" s="34" customFormat="1" x14ac:dyDescent="0.25">
      <c r="A23" s="63" t="s">
        <v>45</v>
      </c>
      <c r="B23" s="62"/>
      <c r="C23" s="64"/>
      <c r="D23" s="62"/>
      <c r="E23" s="62"/>
      <c r="F23" s="62"/>
      <c r="G23" s="62">
        <f>SUM(B23:F23)</f>
        <v>0</v>
      </c>
      <c r="I23" s="3"/>
      <c r="J23" s="4"/>
      <c r="K23" s="52">
        <f t="shared" si="2"/>
        <v>0</v>
      </c>
      <c r="L23" s="65"/>
      <c r="M23" s="4" t="s">
        <v>46</v>
      </c>
      <c r="N23" s="43">
        <v>2875000</v>
      </c>
      <c r="O23" s="43" t="s">
        <v>46</v>
      </c>
      <c r="P23" s="42">
        <v>5740402.4400000013</v>
      </c>
      <c r="Q23" s="34">
        <v>8615402.4400000013</v>
      </c>
      <c r="R23" s="45"/>
      <c r="S23" s="45"/>
    </row>
    <row r="24" spans="1:19" s="34" customFormat="1" x14ac:dyDescent="0.25">
      <c r="A24" s="66" t="s">
        <v>47</v>
      </c>
      <c r="B24" s="62">
        <v>8271401</v>
      </c>
      <c r="C24" s="64"/>
      <c r="D24" s="62"/>
      <c r="E24" s="62"/>
      <c r="F24" s="62"/>
      <c r="G24" s="62">
        <f>SUM(B24:F24)</f>
        <v>8271401</v>
      </c>
      <c r="I24" s="3"/>
      <c r="J24" s="4"/>
      <c r="K24" s="52">
        <f t="shared" si="2"/>
        <v>0</v>
      </c>
      <c r="L24" s="4"/>
      <c r="M24" s="4"/>
      <c r="N24" s="43"/>
      <c r="O24" s="43"/>
      <c r="P24" s="42"/>
      <c r="R24" s="45"/>
      <c r="S24" s="45"/>
    </row>
    <row r="25" spans="1:19" s="34" customFormat="1" x14ac:dyDescent="0.25">
      <c r="A25" s="66" t="s">
        <v>48</v>
      </c>
      <c r="B25" s="62">
        <v>4316525</v>
      </c>
      <c r="C25" s="64"/>
      <c r="D25" s="62"/>
      <c r="E25" s="62"/>
      <c r="F25" s="62"/>
      <c r="G25" s="62">
        <f t="shared" ref="G25:G32" si="3">SUM(B25:F25)</f>
        <v>4316525</v>
      </c>
      <c r="I25" s="3"/>
      <c r="J25" s="4"/>
      <c r="K25" s="52">
        <f t="shared" si="2"/>
        <v>0</v>
      </c>
      <c r="L25" s="4"/>
      <c r="M25" s="4" t="s">
        <v>49</v>
      </c>
      <c r="N25" s="4">
        <v>-300000</v>
      </c>
      <c r="O25" s="4" t="s">
        <v>49</v>
      </c>
      <c r="P25" s="5">
        <v>-180000</v>
      </c>
      <c r="R25" s="45"/>
      <c r="S25" s="45"/>
    </row>
    <row r="26" spans="1:19" s="34" customFormat="1" x14ac:dyDescent="0.25">
      <c r="A26" s="67" t="s">
        <v>50</v>
      </c>
      <c r="B26" s="62">
        <v>1020524.8</v>
      </c>
      <c r="C26" s="64"/>
      <c r="D26" s="62"/>
      <c r="E26" s="62"/>
      <c r="F26" s="62"/>
      <c r="G26" s="62">
        <f t="shared" si="3"/>
        <v>1020524.8</v>
      </c>
      <c r="I26" s="3">
        <f>SUM(B12:F19)</f>
        <v>152835978.19999999</v>
      </c>
      <c r="J26" s="4"/>
      <c r="K26" s="52">
        <f t="shared" si="2"/>
        <v>152835978.19999999</v>
      </c>
      <c r="L26" s="4"/>
      <c r="M26" s="4" t="s">
        <v>51</v>
      </c>
      <c r="N26" s="4">
        <v>-97440</v>
      </c>
      <c r="O26" s="4" t="s">
        <v>51</v>
      </c>
      <c r="P26" s="5">
        <v>-1350000</v>
      </c>
      <c r="R26" s="45"/>
      <c r="S26" s="45"/>
    </row>
    <row r="27" spans="1:19" s="34" customFormat="1" x14ac:dyDescent="0.25">
      <c r="A27" s="67" t="s">
        <v>52</v>
      </c>
      <c r="B27" s="62">
        <v>1260800</v>
      </c>
      <c r="C27" s="64"/>
      <c r="D27" s="62"/>
      <c r="E27" s="62"/>
      <c r="F27" s="62"/>
      <c r="G27" s="62">
        <f t="shared" si="3"/>
        <v>1260800</v>
      </c>
      <c r="I27" s="3">
        <f>SUM(B24:F53)+SUM(B56:F60)+SUM(B63:F67)+SUM(B70:F73)+SUM(B76:F82)</f>
        <v>82113793.840000004</v>
      </c>
      <c r="J27" s="4"/>
      <c r="K27" s="52">
        <f t="shared" si="2"/>
        <v>82113793.840000004</v>
      </c>
      <c r="L27" s="4"/>
      <c r="M27" s="4" t="s">
        <v>53</v>
      </c>
      <c r="N27" s="4">
        <v>-125000</v>
      </c>
      <c r="O27" s="4" t="s">
        <v>53</v>
      </c>
      <c r="P27" s="5">
        <v>-2494000</v>
      </c>
      <c r="R27" s="45"/>
      <c r="S27" s="45"/>
    </row>
    <row r="28" spans="1:19" s="34" customFormat="1" x14ac:dyDescent="0.25">
      <c r="A28" s="67" t="s">
        <v>54</v>
      </c>
      <c r="B28" s="62">
        <v>165980</v>
      </c>
      <c r="C28" s="64"/>
      <c r="D28" s="62"/>
      <c r="E28" s="62"/>
      <c r="F28" s="62"/>
      <c r="G28" s="62">
        <f t="shared" si="3"/>
        <v>165980</v>
      </c>
      <c r="I28" s="3">
        <f>I26-I27</f>
        <v>70722184.359999985</v>
      </c>
      <c r="J28" s="4"/>
      <c r="K28" s="5"/>
      <c r="L28" s="4"/>
      <c r="M28" s="4" t="s">
        <v>55</v>
      </c>
      <c r="N28" s="4"/>
      <c r="O28" s="4" t="s">
        <v>55</v>
      </c>
      <c r="P28" s="5">
        <v>-1090800</v>
      </c>
      <c r="R28" s="45"/>
      <c r="S28" s="45"/>
    </row>
    <row r="29" spans="1:19" s="34" customFormat="1" x14ac:dyDescent="0.25">
      <c r="A29" s="67" t="s">
        <v>56</v>
      </c>
      <c r="B29" s="62">
        <v>396000</v>
      </c>
      <c r="C29" s="64"/>
      <c r="D29" s="62"/>
      <c r="E29" s="62"/>
      <c r="F29" s="62"/>
      <c r="G29" s="62">
        <f t="shared" si="3"/>
        <v>396000</v>
      </c>
      <c r="I29" s="3"/>
      <c r="J29" s="4"/>
      <c r="K29" s="5"/>
      <c r="L29" s="4"/>
      <c r="M29" s="4" t="s">
        <v>33</v>
      </c>
      <c r="N29" s="4">
        <v>-1138800</v>
      </c>
      <c r="O29" s="4" t="s">
        <v>33</v>
      </c>
      <c r="P29" s="5">
        <v>-386000</v>
      </c>
      <c r="Q29" s="43"/>
      <c r="R29" s="43"/>
    </row>
    <row r="30" spans="1:19" s="34" customFormat="1" x14ac:dyDescent="0.25">
      <c r="A30" s="67" t="s">
        <v>57</v>
      </c>
      <c r="B30" s="62">
        <v>514900</v>
      </c>
      <c r="C30" s="64"/>
      <c r="D30" s="62"/>
      <c r="E30" s="62"/>
      <c r="F30" s="62"/>
      <c r="G30" s="62">
        <f t="shared" si="3"/>
        <v>514900</v>
      </c>
      <c r="I30" s="3"/>
      <c r="J30" s="4"/>
      <c r="K30" s="5"/>
      <c r="L30" s="4"/>
      <c r="M30" s="4" t="s">
        <v>58</v>
      </c>
      <c r="N30" s="4">
        <v>-1661240</v>
      </c>
      <c r="O30" s="4" t="s">
        <v>58</v>
      </c>
      <c r="P30" s="5">
        <v>-5500800</v>
      </c>
      <c r="Q30" s="43">
        <v>-7162040</v>
      </c>
      <c r="R30" s="43"/>
    </row>
    <row r="31" spans="1:19" s="34" customFormat="1" ht="12.75" x14ac:dyDescent="0.2">
      <c r="A31" s="68" t="s">
        <v>59</v>
      </c>
      <c r="B31" s="62"/>
      <c r="C31" s="62"/>
      <c r="D31" s="62"/>
      <c r="E31" s="62"/>
      <c r="F31" s="62"/>
      <c r="G31" s="62">
        <f t="shared" si="3"/>
        <v>0</v>
      </c>
      <c r="I31" s="3"/>
      <c r="J31" s="43"/>
      <c r="K31" s="42"/>
      <c r="L31" s="43"/>
      <c r="M31" s="43" t="s">
        <v>60</v>
      </c>
      <c r="N31" s="43">
        <v>1213760</v>
      </c>
      <c r="O31" s="43" t="s">
        <v>60</v>
      </c>
      <c r="P31" s="42">
        <v>239602.44000000134</v>
      </c>
      <c r="Q31" s="43">
        <v>0</v>
      </c>
      <c r="R31" s="43"/>
    </row>
    <row r="32" spans="1:19" s="34" customFormat="1" x14ac:dyDescent="0.25">
      <c r="A32" s="69" t="s">
        <v>61</v>
      </c>
      <c r="B32" s="62"/>
      <c r="C32" s="62"/>
      <c r="D32" s="70"/>
      <c r="E32" s="62"/>
      <c r="F32" s="62"/>
      <c r="G32" s="62">
        <f t="shared" si="3"/>
        <v>0</v>
      </c>
      <c r="I32" s="3"/>
      <c r="J32" s="43"/>
      <c r="K32" s="42"/>
      <c r="L32" s="43"/>
      <c r="M32" s="43"/>
      <c r="N32" s="43"/>
      <c r="O32" s="43">
        <v>0</v>
      </c>
      <c r="P32" s="42"/>
    </row>
    <row r="33" spans="1:17" s="34" customFormat="1" x14ac:dyDescent="0.25">
      <c r="A33" s="71" t="s">
        <v>62</v>
      </c>
      <c r="B33" s="62"/>
      <c r="C33" s="62">
        <v>317834</v>
      </c>
      <c r="D33" s="70"/>
      <c r="E33" s="62"/>
      <c r="F33" s="62"/>
      <c r="G33" s="62">
        <f>SUM(B33:F33)</f>
        <v>317834</v>
      </c>
      <c r="I33" s="3"/>
      <c r="J33" s="43"/>
      <c r="K33" s="42"/>
      <c r="L33" s="43"/>
      <c r="M33" s="43"/>
      <c r="N33" s="43"/>
      <c r="O33" s="43">
        <v>0</v>
      </c>
      <c r="P33" s="42"/>
    </row>
    <row r="34" spans="1:17" s="34" customFormat="1" x14ac:dyDescent="0.25">
      <c r="A34" s="71" t="s">
        <v>63</v>
      </c>
      <c r="B34" s="62"/>
      <c r="C34" s="62">
        <v>80000</v>
      </c>
      <c r="D34" s="70"/>
      <c r="E34" s="62"/>
      <c r="F34" s="62"/>
      <c r="G34" s="62">
        <f t="shared" ref="G34:G53" si="4">SUM(B34:F34)</f>
        <v>80000</v>
      </c>
      <c r="I34" s="3"/>
      <c r="J34" s="43"/>
      <c r="K34" s="42"/>
      <c r="L34" s="43"/>
      <c r="M34" s="43"/>
      <c r="N34" s="43"/>
      <c r="O34" s="43"/>
      <c r="P34" s="42"/>
    </row>
    <row r="35" spans="1:17" s="34" customFormat="1" x14ac:dyDescent="0.25">
      <c r="A35" s="71" t="s">
        <v>64</v>
      </c>
      <c r="B35" s="62"/>
      <c r="C35" s="62">
        <v>915850</v>
      </c>
      <c r="D35" s="70"/>
      <c r="E35" s="62"/>
      <c r="F35" s="62"/>
      <c r="G35" s="62">
        <f t="shared" si="4"/>
        <v>915850</v>
      </c>
      <c r="I35" s="3"/>
      <c r="J35" s="43"/>
      <c r="K35" s="42"/>
      <c r="L35" s="43"/>
      <c r="M35" s="43" t="s">
        <v>65</v>
      </c>
      <c r="N35" s="43"/>
      <c r="O35" s="43"/>
      <c r="P35" s="40"/>
    </row>
    <row r="36" spans="1:17" s="34" customFormat="1" x14ac:dyDescent="0.25">
      <c r="A36" s="72" t="s">
        <v>66</v>
      </c>
      <c r="B36" s="62"/>
      <c r="C36" s="62">
        <v>52510</v>
      </c>
      <c r="D36" s="70"/>
      <c r="E36" s="62"/>
      <c r="F36" s="62"/>
      <c r="G36" s="62">
        <f t="shared" si="4"/>
        <v>52510</v>
      </c>
      <c r="I36" s="3"/>
      <c r="J36" s="43"/>
      <c r="K36" s="42"/>
      <c r="L36" s="43"/>
      <c r="M36" s="43"/>
      <c r="N36" s="43" t="s">
        <v>43</v>
      </c>
      <c r="O36" s="43"/>
      <c r="P36" s="40" t="s">
        <v>44</v>
      </c>
    </row>
    <row r="37" spans="1:17" s="34" customFormat="1" x14ac:dyDescent="0.25">
      <c r="A37" s="72" t="s">
        <v>67</v>
      </c>
      <c r="B37" s="62"/>
      <c r="C37" s="62">
        <v>157750</v>
      </c>
      <c r="D37" s="70"/>
      <c r="E37" s="62"/>
      <c r="F37" s="62"/>
      <c r="G37" s="62">
        <f t="shared" si="4"/>
        <v>157750</v>
      </c>
      <c r="I37" s="3"/>
      <c r="J37" s="43"/>
      <c r="K37" s="42"/>
      <c r="L37" s="43"/>
      <c r="M37" s="43" t="s">
        <v>46</v>
      </c>
      <c r="N37" s="43">
        <v>2875000</v>
      </c>
      <c r="O37" s="43" t="s">
        <v>46</v>
      </c>
      <c r="P37" s="40">
        <v>5740402.4400000013</v>
      </c>
      <c r="Q37" s="34">
        <v>8615402.4400000013</v>
      </c>
    </row>
    <row r="38" spans="1:17" s="34" customFormat="1" x14ac:dyDescent="0.25">
      <c r="A38" s="73" t="s">
        <v>68</v>
      </c>
      <c r="B38" s="62"/>
      <c r="C38" s="62"/>
      <c r="D38" s="70"/>
      <c r="E38" s="62"/>
      <c r="F38" s="62"/>
      <c r="G38" s="62">
        <f t="shared" si="4"/>
        <v>0</v>
      </c>
      <c r="I38" s="3"/>
      <c r="J38" s="43"/>
      <c r="K38" s="42"/>
      <c r="L38" s="43"/>
      <c r="M38" s="43"/>
      <c r="N38" s="43"/>
      <c r="O38" s="43"/>
      <c r="P38" s="40"/>
    </row>
    <row r="39" spans="1:17" s="34" customFormat="1" x14ac:dyDescent="0.25">
      <c r="A39" s="74" t="s">
        <v>69</v>
      </c>
      <c r="B39" s="62"/>
      <c r="C39" s="62">
        <v>1405212.5</v>
      </c>
      <c r="D39" s="70"/>
      <c r="E39" s="62"/>
      <c r="F39" s="62"/>
      <c r="G39" s="62">
        <f t="shared" si="4"/>
        <v>1405212.5</v>
      </c>
      <c r="I39" s="3"/>
      <c r="J39" s="43"/>
      <c r="K39" s="42"/>
      <c r="L39" s="43"/>
      <c r="M39" s="43" t="s">
        <v>49</v>
      </c>
      <c r="N39" s="43">
        <v>-300000</v>
      </c>
      <c r="O39" s="43" t="s">
        <v>49</v>
      </c>
      <c r="P39" s="40">
        <v>-100000</v>
      </c>
    </row>
    <row r="40" spans="1:17" s="34" customFormat="1" x14ac:dyDescent="0.25">
      <c r="A40" s="74" t="s">
        <v>70</v>
      </c>
      <c r="B40" s="62"/>
      <c r="C40" s="62">
        <v>45642.400000000001</v>
      </c>
      <c r="D40" s="70"/>
      <c r="E40" s="62"/>
      <c r="F40" s="62"/>
      <c r="G40" s="62">
        <f t="shared" si="4"/>
        <v>45642.400000000001</v>
      </c>
      <c r="I40" s="3"/>
      <c r="J40" s="43"/>
      <c r="K40" s="42"/>
      <c r="L40" s="43"/>
      <c r="M40" s="43" t="s">
        <v>51</v>
      </c>
      <c r="N40" s="43">
        <v>-97440</v>
      </c>
      <c r="O40" s="43" t="s">
        <v>51</v>
      </c>
      <c r="P40" s="40">
        <v>-1350000</v>
      </c>
    </row>
    <row r="41" spans="1:17" s="34" customFormat="1" x14ac:dyDescent="0.25">
      <c r="A41" s="74" t="s">
        <v>71</v>
      </c>
      <c r="B41" s="62"/>
      <c r="C41" s="62">
        <v>1666630</v>
      </c>
      <c r="D41" s="70"/>
      <c r="E41" s="62"/>
      <c r="F41" s="62"/>
      <c r="G41" s="62">
        <f t="shared" si="4"/>
        <v>1666630</v>
      </c>
      <c r="I41" s="3"/>
      <c r="J41" s="43"/>
      <c r="K41" s="42"/>
      <c r="L41" s="43"/>
      <c r="M41" s="43" t="s">
        <v>53</v>
      </c>
      <c r="N41" s="43"/>
      <c r="O41" s="43" t="s">
        <v>53</v>
      </c>
      <c r="P41" s="40"/>
    </row>
    <row r="42" spans="1:17" s="34" customFormat="1" x14ac:dyDescent="0.25">
      <c r="A42" s="74" t="s">
        <v>72</v>
      </c>
      <c r="B42" s="62"/>
      <c r="C42" s="62">
        <v>860500</v>
      </c>
      <c r="D42" s="70"/>
      <c r="E42" s="62"/>
      <c r="F42" s="62"/>
      <c r="G42" s="62">
        <f t="shared" si="4"/>
        <v>860500</v>
      </c>
      <c r="I42" s="3"/>
      <c r="J42" s="43"/>
      <c r="K42" s="42"/>
      <c r="L42" s="43"/>
      <c r="M42" s="43" t="s">
        <v>55</v>
      </c>
      <c r="N42" s="43"/>
      <c r="O42" s="43" t="s">
        <v>55</v>
      </c>
      <c r="P42" s="40"/>
    </row>
    <row r="43" spans="1:17" s="34" customFormat="1" x14ac:dyDescent="0.25">
      <c r="A43" s="74" t="s">
        <v>73</v>
      </c>
      <c r="B43" s="62"/>
      <c r="C43" s="62">
        <v>3249738.42</v>
      </c>
      <c r="D43" s="70"/>
      <c r="E43" s="62"/>
      <c r="F43" s="62"/>
      <c r="G43" s="62">
        <f t="shared" si="4"/>
        <v>3249738.42</v>
      </c>
      <c r="I43" s="3"/>
      <c r="J43" s="43"/>
      <c r="K43" s="42"/>
      <c r="L43" s="43"/>
      <c r="M43" s="43" t="s">
        <v>33</v>
      </c>
      <c r="N43" s="43"/>
      <c r="O43" s="43" t="s">
        <v>33</v>
      </c>
      <c r="P43" s="40">
        <v>-36000</v>
      </c>
    </row>
    <row r="44" spans="1:17" s="34" customFormat="1" x14ac:dyDescent="0.25">
      <c r="A44" s="74" t="s">
        <v>74</v>
      </c>
      <c r="B44" s="62"/>
      <c r="C44" s="62">
        <v>231500</v>
      </c>
      <c r="D44" s="70"/>
      <c r="E44" s="62"/>
      <c r="F44" s="62"/>
      <c r="G44" s="62">
        <f t="shared" si="4"/>
        <v>231500</v>
      </c>
      <c r="I44" s="3"/>
      <c r="J44" s="43"/>
      <c r="K44" s="42"/>
      <c r="L44" s="43"/>
      <c r="M44" s="43" t="s">
        <v>58</v>
      </c>
      <c r="N44" s="43">
        <v>-397440</v>
      </c>
      <c r="O44" s="43" t="s">
        <v>58</v>
      </c>
      <c r="P44" s="40">
        <v>-1486000</v>
      </c>
      <c r="Q44" s="34">
        <v>-1883440</v>
      </c>
    </row>
    <row r="45" spans="1:17" s="34" customFormat="1" x14ac:dyDescent="0.25">
      <c r="A45" s="74" t="s">
        <v>75</v>
      </c>
      <c r="B45" s="62"/>
      <c r="C45" s="62">
        <v>3115794.95</v>
      </c>
      <c r="D45" s="70"/>
      <c r="E45" s="62"/>
      <c r="F45" s="62"/>
      <c r="G45" s="62">
        <f t="shared" si="4"/>
        <v>3115794.95</v>
      </c>
      <c r="I45" s="3"/>
      <c r="J45" s="43"/>
      <c r="K45" s="42"/>
      <c r="L45" s="43"/>
      <c r="M45" s="43" t="s">
        <v>60</v>
      </c>
      <c r="N45" s="43">
        <v>2477560</v>
      </c>
      <c r="O45" s="43" t="s">
        <v>60</v>
      </c>
      <c r="P45" s="40">
        <v>4254402.4400000013</v>
      </c>
      <c r="Q45" s="34">
        <v>-1883440</v>
      </c>
    </row>
    <row r="46" spans="1:17" s="34" customFormat="1" x14ac:dyDescent="0.25">
      <c r="A46" s="74" t="s">
        <v>76</v>
      </c>
      <c r="B46" s="62"/>
      <c r="C46" s="62">
        <v>341465.4</v>
      </c>
      <c r="D46" s="70"/>
      <c r="E46" s="62"/>
      <c r="F46" s="62"/>
      <c r="G46" s="62">
        <f t="shared" si="4"/>
        <v>341465.4</v>
      </c>
      <c r="I46" s="3"/>
      <c r="J46" s="43"/>
      <c r="K46" s="42"/>
      <c r="L46" s="43"/>
      <c r="M46" s="43"/>
      <c r="N46" s="43"/>
      <c r="O46" s="43"/>
      <c r="P46" s="40"/>
    </row>
    <row r="47" spans="1:17" s="34" customFormat="1" x14ac:dyDescent="0.25">
      <c r="A47" s="74" t="s">
        <v>77</v>
      </c>
      <c r="B47" s="62"/>
      <c r="C47" s="62">
        <v>1900000</v>
      </c>
      <c r="D47" s="70"/>
      <c r="E47" s="62"/>
      <c r="F47" s="62"/>
      <c r="G47" s="62">
        <f t="shared" si="4"/>
        <v>1900000</v>
      </c>
      <c r="I47" s="3"/>
      <c r="J47" s="43"/>
      <c r="K47" s="42"/>
      <c r="L47" s="43"/>
      <c r="M47" s="43"/>
      <c r="N47" s="43"/>
      <c r="O47" s="43"/>
      <c r="P47" s="40"/>
    </row>
    <row r="48" spans="1:17" s="34" customFormat="1" x14ac:dyDescent="0.25">
      <c r="A48" s="73" t="s">
        <v>78</v>
      </c>
      <c r="B48" s="62"/>
      <c r="C48" s="62"/>
      <c r="D48" s="70"/>
      <c r="E48" s="62"/>
      <c r="F48" s="62"/>
      <c r="G48" s="62">
        <f t="shared" si="4"/>
        <v>0</v>
      </c>
      <c r="I48" s="3"/>
      <c r="J48" s="43"/>
      <c r="K48" s="42"/>
      <c r="L48" s="43"/>
      <c r="M48" s="43"/>
      <c r="N48" s="43"/>
      <c r="O48" s="43"/>
      <c r="P48" s="40"/>
    </row>
    <row r="49" spans="1:16" s="34" customFormat="1" x14ac:dyDescent="0.25">
      <c r="A49" s="74" t="s">
        <v>79</v>
      </c>
      <c r="B49" s="62"/>
      <c r="C49" s="62">
        <v>350210</v>
      </c>
      <c r="D49" s="70"/>
      <c r="E49" s="62"/>
      <c r="F49" s="62"/>
      <c r="G49" s="62">
        <f t="shared" si="4"/>
        <v>350210</v>
      </c>
      <c r="I49" s="3"/>
      <c r="J49" s="43"/>
      <c r="K49" s="42"/>
      <c r="L49" s="43"/>
      <c r="M49" s="43"/>
      <c r="N49" s="43"/>
      <c r="O49" s="43"/>
      <c r="P49" s="40"/>
    </row>
    <row r="50" spans="1:16" s="34" customFormat="1" x14ac:dyDescent="0.25">
      <c r="A50" s="74" t="s">
        <v>80</v>
      </c>
      <c r="B50" s="62"/>
      <c r="C50" s="62">
        <v>300000</v>
      </c>
      <c r="D50" s="70"/>
      <c r="E50" s="62"/>
      <c r="F50" s="62"/>
      <c r="G50" s="62">
        <f t="shared" si="4"/>
        <v>300000</v>
      </c>
      <c r="I50" s="3"/>
      <c r="J50" s="43"/>
      <c r="K50" s="42"/>
      <c r="L50" s="43"/>
      <c r="M50" s="43"/>
      <c r="N50" s="43"/>
      <c r="O50" s="43"/>
      <c r="P50" s="40"/>
    </row>
    <row r="51" spans="1:16" s="34" customFormat="1" x14ac:dyDescent="0.25">
      <c r="A51" s="73" t="s">
        <v>81</v>
      </c>
      <c r="B51" s="62"/>
      <c r="C51" s="62"/>
      <c r="D51" s="70"/>
      <c r="E51" s="62"/>
      <c r="F51" s="62"/>
      <c r="G51" s="62">
        <f t="shared" si="4"/>
        <v>0</v>
      </c>
      <c r="I51" s="3"/>
      <c r="J51" s="43"/>
      <c r="K51" s="42"/>
      <c r="L51" s="43"/>
      <c r="M51" s="43"/>
      <c r="N51" s="43"/>
      <c r="O51" s="43"/>
      <c r="P51" s="40"/>
    </row>
    <row r="52" spans="1:16" s="34" customFormat="1" x14ac:dyDescent="0.25">
      <c r="A52" s="74" t="s">
        <v>82</v>
      </c>
      <c r="B52" s="62"/>
      <c r="C52" s="62">
        <v>300000</v>
      </c>
      <c r="D52" s="70"/>
      <c r="E52" s="62"/>
      <c r="F52" s="62"/>
      <c r="G52" s="62">
        <f t="shared" si="4"/>
        <v>300000</v>
      </c>
      <c r="I52" s="3">
        <v>18</v>
      </c>
      <c r="J52" s="43"/>
      <c r="K52" s="42"/>
      <c r="L52" s="43"/>
      <c r="M52" s="43"/>
      <c r="N52" s="43"/>
      <c r="O52" s="43"/>
      <c r="P52" s="40"/>
    </row>
    <row r="53" spans="1:16" s="34" customFormat="1" x14ac:dyDescent="0.25">
      <c r="A53" s="74" t="s">
        <v>83</v>
      </c>
      <c r="B53" s="62"/>
      <c r="C53" s="62">
        <v>3484050</v>
      </c>
      <c r="D53" s="70"/>
      <c r="E53" s="62"/>
      <c r="F53" s="62"/>
      <c r="G53" s="62">
        <f t="shared" si="4"/>
        <v>3484050</v>
      </c>
      <c r="I53" s="3">
        <v>0.75</v>
      </c>
      <c r="J53" s="43"/>
      <c r="K53" s="42"/>
      <c r="L53" s="43"/>
      <c r="M53" s="43"/>
      <c r="N53" s="43"/>
      <c r="O53" s="43"/>
      <c r="P53" s="40"/>
    </row>
    <row r="54" spans="1:16" s="77" customFormat="1" ht="12.75" x14ac:dyDescent="0.2">
      <c r="A54" s="75" t="s">
        <v>84</v>
      </c>
      <c r="B54" s="76">
        <f>SUM(B23:B53)</f>
        <v>15946130.800000001</v>
      </c>
      <c r="C54" s="76">
        <f t="shared" ref="C54:G54" si="5">SUM(C23:C53)</f>
        <v>18774687.670000002</v>
      </c>
      <c r="D54" s="76">
        <f t="shared" si="5"/>
        <v>0</v>
      </c>
      <c r="E54" s="76">
        <f t="shared" si="5"/>
        <v>0</v>
      </c>
      <c r="F54" s="76">
        <f t="shared" si="5"/>
        <v>0</v>
      </c>
      <c r="G54" s="76">
        <f t="shared" si="5"/>
        <v>34720818.469999999</v>
      </c>
      <c r="I54" s="78">
        <f>+I52*I53</f>
        <v>13.5</v>
      </c>
      <c r="J54" s="79"/>
      <c r="K54" s="80"/>
      <c r="L54" s="79"/>
      <c r="M54" s="79"/>
      <c r="N54" s="79"/>
      <c r="O54" s="79"/>
      <c r="P54" s="81"/>
    </row>
    <row r="55" spans="1:16" s="34" customFormat="1" ht="12.75" x14ac:dyDescent="0.2">
      <c r="A55" s="82" t="s">
        <v>85</v>
      </c>
      <c r="B55" s="76">
        <f>+B12-B54</f>
        <v>13869.199999999255</v>
      </c>
      <c r="C55" s="76">
        <f>+C12-C54</f>
        <v>18465312.329999998</v>
      </c>
      <c r="D55" s="76">
        <f t="shared" ref="D55:G55" si="6">+D12-D54</f>
        <v>0</v>
      </c>
      <c r="E55" s="76">
        <f t="shared" si="6"/>
        <v>0</v>
      </c>
      <c r="F55" s="76">
        <f t="shared" si="6"/>
        <v>0</v>
      </c>
      <c r="G55" s="76">
        <f t="shared" si="6"/>
        <v>18479181.530000001</v>
      </c>
      <c r="I55" s="3"/>
      <c r="J55" s="43"/>
      <c r="K55" s="42"/>
      <c r="L55" s="43"/>
      <c r="M55" s="43"/>
      <c r="N55" s="43"/>
      <c r="O55" s="43"/>
      <c r="P55" s="40"/>
    </row>
    <row r="56" spans="1:16" s="34" customFormat="1" ht="12.75" x14ac:dyDescent="0.2">
      <c r="A56" s="82" t="s">
        <v>86</v>
      </c>
      <c r="B56" s="62"/>
      <c r="C56" s="62"/>
      <c r="D56" s="62"/>
      <c r="E56" s="62"/>
      <c r="F56" s="62"/>
      <c r="G56" s="62">
        <f>SUM(B56:F56)</f>
        <v>0</v>
      </c>
      <c r="I56" s="3"/>
      <c r="J56" s="43"/>
      <c r="K56" s="42"/>
      <c r="L56" s="43"/>
      <c r="M56" s="43"/>
      <c r="N56" s="43"/>
      <c r="O56" s="43"/>
      <c r="P56" s="40"/>
    </row>
    <row r="57" spans="1:16" s="34" customFormat="1" ht="12.75" x14ac:dyDescent="0.2">
      <c r="A57" s="61" t="s">
        <v>87</v>
      </c>
      <c r="B57" s="62"/>
      <c r="C57" s="62">
        <f>2000000+301228+2531303.91+1925000+1967468.09</f>
        <v>8725000</v>
      </c>
      <c r="D57" s="62"/>
      <c r="E57" s="62"/>
      <c r="F57" s="62"/>
      <c r="G57" s="62">
        <f>SUM(B57:F57)</f>
        <v>8725000</v>
      </c>
      <c r="I57" s="3">
        <v>2000000</v>
      </c>
      <c r="J57" s="43"/>
      <c r="K57" s="42"/>
      <c r="L57" s="43"/>
      <c r="M57" s="43"/>
      <c r="N57" s="43"/>
      <c r="O57" s="43"/>
      <c r="P57" s="40"/>
    </row>
    <row r="58" spans="1:16" s="34" customFormat="1" ht="12.75" x14ac:dyDescent="0.2">
      <c r="A58" s="61" t="s">
        <v>88</v>
      </c>
      <c r="B58" s="62"/>
      <c r="C58" s="62">
        <v>228437.54</v>
      </c>
      <c r="D58" s="62"/>
      <c r="E58" s="62"/>
      <c r="F58" s="62"/>
      <c r="G58" s="62">
        <f t="shared" ref="G58:G60" si="7">SUM(B58:F58)</f>
        <v>228437.54</v>
      </c>
      <c r="I58" s="3">
        <v>1967468.09</v>
      </c>
      <c r="J58" s="43"/>
      <c r="K58" s="42"/>
      <c r="L58" s="43"/>
      <c r="M58" s="43"/>
      <c r="N58" s="43"/>
      <c r="O58" s="43"/>
      <c r="P58" s="40"/>
    </row>
    <row r="59" spans="1:16" s="34" customFormat="1" ht="12.75" x14ac:dyDescent="0.2">
      <c r="A59" s="61" t="s">
        <v>89</v>
      </c>
      <c r="B59" s="62"/>
      <c r="C59" s="62">
        <f>38375.37+464872.02+1914690.44+130920+650000</f>
        <v>3198857.83</v>
      </c>
      <c r="D59" s="62"/>
      <c r="E59" s="62"/>
      <c r="F59" s="62"/>
      <c r="G59" s="62">
        <f t="shared" si="7"/>
        <v>3198857.83</v>
      </c>
      <c r="I59" s="3">
        <f>+I57-I58</f>
        <v>32531.909999999916</v>
      </c>
      <c r="J59" s="43"/>
      <c r="K59" s="42"/>
      <c r="L59" s="43"/>
      <c r="M59" s="43"/>
      <c r="N59" s="43"/>
      <c r="O59" s="43"/>
      <c r="P59" s="40"/>
    </row>
    <row r="60" spans="1:16" s="34" customFormat="1" ht="12.75" x14ac:dyDescent="0.2">
      <c r="A60" s="40" t="s">
        <v>90</v>
      </c>
      <c r="B60" s="62"/>
      <c r="C60" s="62">
        <f>16990000+384000+559650</f>
        <v>17933650</v>
      </c>
      <c r="D60" s="62"/>
      <c r="E60" s="62"/>
      <c r="F60" s="62"/>
      <c r="G60" s="62">
        <f t="shared" si="7"/>
        <v>17933650</v>
      </c>
      <c r="I60" s="3"/>
      <c r="J60" s="43"/>
      <c r="K60" s="42"/>
      <c r="L60" s="43"/>
      <c r="M60" s="43"/>
      <c r="N60" s="43"/>
      <c r="O60" s="43"/>
      <c r="P60" s="40"/>
    </row>
    <row r="61" spans="1:16" s="83" customFormat="1" ht="12.75" x14ac:dyDescent="0.2">
      <c r="A61" s="82" t="s">
        <v>91</v>
      </c>
      <c r="B61" s="76">
        <f>SUM(B56:B60)</f>
        <v>0</v>
      </c>
      <c r="C61" s="76">
        <f>SUM(C57:C60)</f>
        <v>30085945.369999997</v>
      </c>
      <c r="D61" s="76">
        <f>SUM(D57:D60)</f>
        <v>0</v>
      </c>
      <c r="E61" s="76">
        <f>SUM(E57:E60)</f>
        <v>0</v>
      </c>
      <c r="F61" s="76">
        <f>SUM(F57:F60)</f>
        <v>0</v>
      </c>
      <c r="G61" s="76">
        <f>SUM(G57:G60)</f>
        <v>30085945.369999997</v>
      </c>
      <c r="I61" s="84"/>
      <c r="J61" s="85"/>
      <c r="K61" s="86"/>
      <c r="L61" s="85"/>
      <c r="M61" s="85"/>
      <c r="N61" s="85"/>
      <c r="O61" s="85"/>
      <c r="P61" s="87"/>
    </row>
    <row r="62" spans="1:16" s="88" customFormat="1" ht="12.75" x14ac:dyDescent="0.2">
      <c r="A62" s="82" t="s">
        <v>92</v>
      </c>
      <c r="B62" s="76">
        <f t="shared" ref="B62:G62" si="8">B13-B61</f>
        <v>0</v>
      </c>
      <c r="C62" s="76">
        <f t="shared" si="8"/>
        <v>10472786.649999999</v>
      </c>
      <c r="D62" s="76">
        <f t="shared" si="8"/>
        <v>0</v>
      </c>
      <c r="E62" s="76">
        <f t="shared" si="8"/>
        <v>0</v>
      </c>
      <c r="F62" s="76">
        <f t="shared" si="8"/>
        <v>0</v>
      </c>
      <c r="G62" s="76">
        <f t="shared" si="8"/>
        <v>10472786.649999999</v>
      </c>
      <c r="I62" s="89"/>
      <c r="J62" s="90"/>
      <c r="K62" s="91"/>
      <c r="L62" s="90"/>
      <c r="M62" s="90"/>
      <c r="N62" s="90"/>
      <c r="O62" s="90"/>
      <c r="P62" s="92"/>
    </row>
    <row r="63" spans="1:16" s="34" customFormat="1" ht="12.75" x14ac:dyDescent="0.2">
      <c r="A63" s="82" t="s">
        <v>93</v>
      </c>
      <c r="B63" s="62"/>
      <c r="C63" s="62"/>
      <c r="D63" s="62"/>
      <c r="E63" s="62"/>
      <c r="F63" s="62"/>
      <c r="G63" s="62">
        <f>SUM(B63:F63)</f>
        <v>0</v>
      </c>
      <c r="I63" s="3"/>
      <c r="J63" s="43"/>
      <c r="K63" s="42"/>
      <c r="L63" s="43"/>
      <c r="M63" s="43"/>
      <c r="N63" s="43"/>
      <c r="O63" s="43"/>
      <c r="P63" s="40"/>
    </row>
    <row r="64" spans="1:16" s="34" customFormat="1" ht="12.75" x14ac:dyDescent="0.2">
      <c r="A64" s="82" t="s">
        <v>94</v>
      </c>
      <c r="B64" s="76"/>
      <c r="C64" s="76"/>
      <c r="D64" s="76"/>
      <c r="E64" s="76"/>
      <c r="F64" s="76"/>
      <c r="G64" s="76"/>
      <c r="I64" s="3"/>
      <c r="J64" s="43"/>
      <c r="K64" s="42"/>
      <c r="L64" s="43"/>
      <c r="M64" s="43"/>
      <c r="N64" s="43"/>
      <c r="O64" s="43"/>
      <c r="P64" s="40"/>
    </row>
    <row r="65" spans="1:18" s="34" customFormat="1" ht="12.75" x14ac:dyDescent="0.2">
      <c r="A65" s="66" t="s">
        <v>95</v>
      </c>
      <c r="B65" s="62"/>
      <c r="C65" s="62"/>
      <c r="D65" s="62"/>
      <c r="E65" s="62"/>
      <c r="F65" s="62">
        <v>1186800</v>
      </c>
      <c r="G65" s="62">
        <f t="shared" ref="G65:G67" si="9">SUM(B65:F65)</f>
        <v>1186800</v>
      </c>
      <c r="I65" s="3"/>
      <c r="J65" s="43"/>
      <c r="K65" s="42"/>
      <c r="L65" s="43"/>
      <c r="M65" s="43"/>
      <c r="N65" s="43"/>
      <c r="O65" s="43"/>
      <c r="P65" s="40"/>
    </row>
    <row r="66" spans="1:18" s="34" customFormat="1" ht="12.75" x14ac:dyDescent="0.2">
      <c r="A66" s="66" t="s">
        <v>36</v>
      </c>
      <c r="B66" s="62"/>
      <c r="C66" s="62"/>
      <c r="D66" s="62"/>
      <c r="E66" s="62"/>
      <c r="F66" s="62">
        <v>745500</v>
      </c>
      <c r="G66" s="62">
        <f>SUM(B66:F66)</f>
        <v>745500</v>
      </c>
      <c r="I66" s="3"/>
      <c r="J66" s="43"/>
      <c r="K66" s="42"/>
      <c r="L66" s="43"/>
      <c r="M66" s="43"/>
      <c r="N66" s="43"/>
      <c r="O66" s="43"/>
      <c r="P66" s="40"/>
    </row>
    <row r="67" spans="1:18" s="34" customFormat="1" ht="12.75" x14ac:dyDescent="0.2">
      <c r="A67" s="66" t="s">
        <v>57</v>
      </c>
      <c r="B67" s="62"/>
      <c r="C67" s="62"/>
      <c r="D67" s="62"/>
      <c r="E67" s="62"/>
      <c r="F67" s="62">
        <v>754500</v>
      </c>
      <c r="G67" s="62">
        <f t="shared" si="9"/>
        <v>754500</v>
      </c>
      <c r="I67" s="3"/>
      <c r="J67" s="43"/>
      <c r="K67" s="42"/>
      <c r="L67" s="43"/>
      <c r="M67" s="43"/>
      <c r="N67" s="43"/>
      <c r="O67" s="43"/>
      <c r="P67" s="40"/>
    </row>
    <row r="68" spans="1:18" s="93" customFormat="1" ht="12.75" x14ac:dyDescent="0.2">
      <c r="A68" s="82" t="s">
        <v>96</v>
      </c>
      <c r="B68" s="76">
        <f t="shared" ref="B68:E68" si="10">SUM(B65:B67)</f>
        <v>0</v>
      </c>
      <c r="C68" s="76">
        <f t="shared" si="10"/>
        <v>0</v>
      </c>
      <c r="D68" s="76">
        <f t="shared" si="10"/>
        <v>0</v>
      </c>
      <c r="E68" s="76">
        <f t="shared" si="10"/>
        <v>0</v>
      </c>
      <c r="F68" s="76">
        <f>SUM(F65:F67)</f>
        <v>2686800</v>
      </c>
      <c r="G68" s="76">
        <f>SUM(G65:G67)</f>
        <v>2686800</v>
      </c>
      <c r="I68" s="94"/>
      <c r="J68" s="95"/>
      <c r="K68" s="96"/>
      <c r="L68" s="95"/>
      <c r="M68" s="95"/>
      <c r="N68" s="95"/>
      <c r="O68" s="95"/>
      <c r="P68" s="97"/>
    </row>
    <row r="69" spans="1:18" s="34" customFormat="1" ht="12.75" x14ac:dyDescent="0.2">
      <c r="A69" s="82" t="s">
        <v>97</v>
      </c>
      <c r="B69" s="76"/>
      <c r="C69" s="76"/>
      <c r="D69" s="76"/>
      <c r="E69" s="76">
        <f>E18-E68</f>
        <v>200000</v>
      </c>
      <c r="F69" s="76">
        <f t="shared" ref="F69" si="11">F18-F68</f>
        <v>4183531</v>
      </c>
      <c r="G69" s="76">
        <f>G18-G68</f>
        <v>4383531</v>
      </c>
      <c r="I69" s="3"/>
      <c r="J69" s="43"/>
      <c r="K69" s="42"/>
      <c r="L69" s="43"/>
      <c r="M69" s="43"/>
      <c r="N69" s="43"/>
      <c r="O69" s="43"/>
      <c r="P69" s="40"/>
    </row>
    <row r="70" spans="1:18" s="34" customFormat="1" ht="12.75" x14ac:dyDescent="0.2">
      <c r="A70" s="82" t="s">
        <v>98</v>
      </c>
      <c r="B70" s="76"/>
      <c r="C70" s="76"/>
      <c r="D70" s="76"/>
      <c r="E70" s="76"/>
      <c r="F70" s="76"/>
      <c r="G70" s="76"/>
      <c r="I70" s="3"/>
      <c r="J70" s="43"/>
      <c r="K70" s="42"/>
      <c r="L70" s="43"/>
      <c r="M70" s="43"/>
      <c r="N70" s="43"/>
      <c r="O70" s="43"/>
      <c r="P70" s="40"/>
    </row>
    <row r="71" spans="1:18" s="34" customFormat="1" ht="12.75" x14ac:dyDescent="0.2">
      <c r="A71" s="98" t="s">
        <v>99</v>
      </c>
      <c r="B71" s="62"/>
      <c r="C71" s="62"/>
      <c r="D71" s="62"/>
      <c r="E71" s="62">
        <f>300000</f>
        <v>300000</v>
      </c>
      <c r="F71" s="62">
        <f>100000</f>
        <v>100000</v>
      </c>
      <c r="G71" s="62">
        <f>SUM(B71:F71)</f>
        <v>400000</v>
      </c>
      <c r="I71" s="3"/>
      <c r="J71" s="43"/>
      <c r="K71" s="42"/>
      <c r="L71" s="43"/>
      <c r="M71" s="43"/>
      <c r="N71" s="43"/>
      <c r="O71" s="43"/>
      <c r="P71" s="40"/>
    </row>
    <row r="72" spans="1:18" s="34" customFormat="1" ht="12.75" x14ac:dyDescent="0.2">
      <c r="A72" s="98" t="s">
        <v>100</v>
      </c>
      <c r="B72" s="62"/>
      <c r="C72" s="62"/>
      <c r="D72" s="62"/>
      <c r="E72" s="62">
        <f>97440</f>
        <v>97440</v>
      </c>
      <c r="F72" s="62">
        <f>1350000</f>
        <v>1350000</v>
      </c>
      <c r="G72" s="62">
        <f t="shared" ref="G72:G73" si="12">SUM(B72:F72)</f>
        <v>1447440</v>
      </c>
      <c r="I72" s="3"/>
      <c r="J72" s="43"/>
      <c r="K72" s="42"/>
      <c r="L72" s="43"/>
      <c r="M72" s="43"/>
      <c r="N72" s="43"/>
      <c r="O72" s="43"/>
      <c r="P72" s="40"/>
    </row>
    <row r="73" spans="1:18" s="34" customFormat="1" ht="12.75" x14ac:dyDescent="0.2">
      <c r="A73" s="66" t="s">
        <v>101</v>
      </c>
      <c r="B73" s="62"/>
      <c r="C73" s="62"/>
      <c r="D73" s="62"/>
      <c r="E73" s="62"/>
      <c r="F73" s="62">
        <f>36000</f>
        <v>36000</v>
      </c>
      <c r="G73" s="62">
        <f t="shared" si="12"/>
        <v>36000</v>
      </c>
      <c r="I73" s="3"/>
      <c r="J73" s="43"/>
      <c r="K73" s="42"/>
      <c r="L73" s="43"/>
      <c r="M73" s="43"/>
      <c r="N73" s="43"/>
      <c r="O73" s="43"/>
      <c r="P73" s="40"/>
    </row>
    <row r="74" spans="1:18" s="77" customFormat="1" ht="12.75" x14ac:dyDescent="0.2">
      <c r="A74" s="82" t="s">
        <v>102</v>
      </c>
      <c r="B74" s="76">
        <f>SUM(B70:B73)</f>
        <v>0</v>
      </c>
      <c r="C74" s="76">
        <f t="shared" ref="C74:F74" si="13">SUM(C70:C73)</f>
        <v>0</v>
      </c>
      <c r="D74" s="76">
        <f t="shared" si="13"/>
        <v>0</v>
      </c>
      <c r="E74" s="76">
        <f t="shared" si="13"/>
        <v>397440</v>
      </c>
      <c r="F74" s="76">
        <f t="shared" si="13"/>
        <v>1486000</v>
      </c>
      <c r="G74" s="76">
        <f>SUM(G71:G73)</f>
        <v>1883440</v>
      </c>
      <c r="I74" s="78"/>
      <c r="J74" s="79"/>
      <c r="K74" s="80"/>
      <c r="L74" s="79"/>
      <c r="M74" s="79"/>
      <c r="N74" s="79"/>
      <c r="O74" s="79"/>
      <c r="P74" s="81"/>
    </row>
    <row r="75" spans="1:18" s="34" customFormat="1" ht="12.75" x14ac:dyDescent="0.2">
      <c r="A75" s="82" t="s">
        <v>103</v>
      </c>
      <c r="B75" s="76"/>
      <c r="C75" s="76"/>
      <c r="D75" s="76"/>
      <c r="E75" s="76">
        <f>E19-E74</f>
        <v>2477560</v>
      </c>
      <c r="F75" s="76">
        <f t="shared" ref="F75" si="14">F19-F74</f>
        <v>9254402.4400000013</v>
      </c>
      <c r="G75" s="76">
        <f>G19-G74</f>
        <v>35195976.439999998</v>
      </c>
      <c r="I75" s="3"/>
      <c r="J75" s="43"/>
      <c r="K75" s="42"/>
      <c r="L75" s="43"/>
      <c r="M75" s="43"/>
      <c r="N75" s="43"/>
      <c r="O75" s="43"/>
      <c r="P75" s="40"/>
    </row>
    <row r="76" spans="1:18" s="34" customFormat="1" ht="12.75" x14ac:dyDescent="0.2">
      <c r="A76" s="82" t="s">
        <v>104</v>
      </c>
      <c r="B76" s="76"/>
      <c r="C76" s="76"/>
      <c r="D76" s="76"/>
      <c r="E76" s="76"/>
      <c r="F76" s="76"/>
      <c r="G76" s="76"/>
      <c r="I76" s="3"/>
      <c r="J76" s="43"/>
      <c r="K76" s="42"/>
      <c r="L76" s="43"/>
      <c r="M76" s="43"/>
      <c r="N76" s="43"/>
      <c r="O76" s="43"/>
      <c r="P76" s="40"/>
    </row>
    <row r="77" spans="1:18" s="34" customFormat="1" x14ac:dyDescent="0.25">
      <c r="A77" s="66" t="s">
        <v>105</v>
      </c>
      <c r="B77" s="62">
        <f>1500000+1060</f>
        <v>1501060</v>
      </c>
      <c r="C77" s="62"/>
      <c r="D77" s="62"/>
      <c r="E77" s="62"/>
      <c r="F77" s="62"/>
      <c r="G77" s="62">
        <f>SUM(B77:F77)</f>
        <v>1501060</v>
      </c>
      <c r="I77" s="3"/>
      <c r="J77" s="4"/>
      <c r="K77" s="5"/>
      <c r="L77" s="4"/>
      <c r="M77" s="4"/>
      <c r="N77" s="4"/>
      <c r="O77" s="4"/>
      <c r="P77" s="6"/>
      <c r="Q77" s="43"/>
      <c r="R77" s="43"/>
    </row>
    <row r="78" spans="1:18" s="34" customFormat="1" x14ac:dyDescent="0.25">
      <c r="A78" s="66" t="s">
        <v>106</v>
      </c>
      <c r="B78" s="62">
        <v>80030</v>
      </c>
      <c r="C78" s="62"/>
      <c r="D78" s="62"/>
      <c r="E78" s="62"/>
      <c r="F78" s="62"/>
      <c r="G78" s="62">
        <f t="shared" ref="G78:G82" si="15">SUM(B78:F78)</f>
        <v>80030</v>
      </c>
      <c r="I78" s="3"/>
      <c r="J78" s="4"/>
      <c r="K78" s="5"/>
      <c r="L78" s="4"/>
      <c r="M78" s="4"/>
      <c r="N78" s="4"/>
      <c r="O78" s="4"/>
      <c r="P78" s="6"/>
      <c r="Q78" s="43"/>
      <c r="R78" s="43"/>
    </row>
    <row r="79" spans="1:18" s="34" customFormat="1" x14ac:dyDescent="0.25">
      <c r="A79" s="66" t="s">
        <v>107</v>
      </c>
      <c r="B79" s="62">
        <f>1387500+405000</f>
        <v>1792500</v>
      </c>
      <c r="C79" s="62"/>
      <c r="D79" s="62"/>
      <c r="E79" s="62"/>
      <c r="F79" s="62"/>
      <c r="G79" s="62">
        <f t="shared" si="15"/>
        <v>1792500</v>
      </c>
      <c r="I79" s="3"/>
      <c r="J79" s="4"/>
      <c r="K79" s="5"/>
      <c r="L79" s="4"/>
      <c r="M79" s="4"/>
      <c r="N79" s="4"/>
      <c r="O79" s="4"/>
      <c r="P79" s="6"/>
      <c r="Q79" s="43"/>
      <c r="R79" s="43"/>
    </row>
    <row r="80" spans="1:18" s="34" customFormat="1" x14ac:dyDescent="0.25">
      <c r="A80" s="66" t="s">
        <v>33</v>
      </c>
      <c r="B80" s="62">
        <v>2656100</v>
      </c>
      <c r="C80" s="62">
        <v>212400</v>
      </c>
      <c r="D80" s="62"/>
      <c r="E80" s="62"/>
      <c r="F80" s="62"/>
      <c r="G80" s="62">
        <f t="shared" si="15"/>
        <v>2868500</v>
      </c>
      <c r="I80" s="3"/>
      <c r="J80" s="4"/>
      <c r="K80" s="5"/>
      <c r="L80" s="4"/>
      <c r="M80" s="4"/>
      <c r="N80" s="4"/>
      <c r="O80" s="4"/>
      <c r="P80" s="6"/>
      <c r="Q80" s="43"/>
      <c r="R80" s="43"/>
    </row>
    <row r="81" spans="1:18" s="34" customFormat="1" x14ac:dyDescent="0.25">
      <c r="A81" s="66" t="s">
        <v>108</v>
      </c>
      <c r="B81" s="62">
        <v>639000</v>
      </c>
      <c r="C81" s="62"/>
      <c r="D81" s="62"/>
      <c r="E81" s="62"/>
      <c r="F81" s="62"/>
      <c r="G81" s="62">
        <f t="shared" si="15"/>
        <v>639000</v>
      </c>
      <c r="I81" s="3"/>
      <c r="J81" s="4"/>
      <c r="K81" s="5"/>
      <c r="L81" s="4"/>
      <c r="M81" s="4"/>
      <c r="N81" s="4"/>
      <c r="O81" s="4"/>
      <c r="P81" s="6"/>
      <c r="Q81" s="43"/>
      <c r="R81" s="43"/>
    </row>
    <row r="82" spans="1:18" s="34" customFormat="1" x14ac:dyDescent="0.25">
      <c r="A82" s="66" t="s">
        <v>100</v>
      </c>
      <c r="B82" s="62">
        <v>5855700</v>
      </c>
      <c r="C82" s="62"/>
      <c r="D82" s="62"/>
      <c r="E82" s="62"/>
      <c r="F82" s="62"/>
      <c r="G82" s="62">
        <f t="shared" si="15"/>
        <v>5855700</v>
      </c>
      <c r="I82" s="3"/>
      <c r="J82" s="4"/>
      <c r="K82" s="5"/>
      <c r="L82" s="4"/>
      <c r="M82" s="4"/>
      <c r="N82" s="4"/>
      <c r="O82" s="4"/>
      <c r="P82" s="6"/>
      <c r="Q82" s="43"/>
      <c r="R82" s="43"/>
    </row>
    <row r="83" spans="1:18" s="34" customFormat="1" ht="12.75" x14ac:dyDescent="0.2">
      <c r="A83" s="82" t="s">
        <v>109</v>
      </c>
      <c r="B83" s="76">
        <f>SUM(B77:B82)</f>
        <v>12524390</v>
      </c>
      <c r="C83" s="76">
        <f t="shared" ref="C83:G83" si="16">SUM(C77:C82)</f>
        <v>212400</v>
      </c>
      <c r="D83" s="76">
        <f t="shared" si="16"/>
        <v>0</v>
      </c>
      <c r="E83" s="76">
        <f t="shared" si="16"/>
        <v>0</v>
      </c>
      <c r="F83" s="76">
        <f t="shared" si="16"/>
        <v>0</v>
      </c>
      <c r="G83" s="76">
        <f t="shared" si="16"/>
        <v>12736790</v>
      </c>
      <c r="I83" s="3"/>
      <c r="J83" s="43"/>
      <c r="K83" s="42"/>
      <c r="L83" s="43"/>
      <c r="M83" s="43"/>
      <c r="N83" s="43"/>
      <c r="O83" s="43"/>
      <c r="P83" s="40"/>
    </row>
    <row r="84" spans="1:18" s="34" customFormat="1" ht="12.75" x14ac:dyDescent="0.2">
      <c r="A84" s="82" t="s">
        <v>110</v>
      </c>
      <c r="B84" s="76">
        <f>SUM(B15:B17)-B83</f>
        <v>2190708.7400000002</v>
      </c>
      <c r="C84" s="76">
        <f>SUM(C15:C17)-C83</f>
        <v>0</v>
      </c>
      <c r="D84" s="76">
        <f>SUM(D15:D17)-D83</f>
        <v>0</v>
      </c>
      <c r="E84" s="76">
        <f>SUM(E15:E17)-E83</f>
        <v>0</v>
      </c>
      <c r="F84" s="76">
        <f>SUM(F15:F17)-F83</f>
        <v>0</v>
      </c>
      <c r="G84" s="76">
        <f>SUM(G15:G17)-G83</f>
        <v>2190708.7400000002</v>
      </c>
      <c r="I84" s="3"/>
      <c r="J84" s="43"/>
      <c r="K84" s="42"/>
      <c r="L84" s="43"/>
      <c r="M84" s="43"/>
      <c r="N84" s="43"/>
      <c r="O84" s="43"/>
      <c r="P84" s="40"/>
    </row>
    <row r="85" spans="1:18" s="34" customFormat="1" ht="12.75" x14ac:dyDescent="0.2">
      <c r="A85" s="82" t="s">
        <v>111</v>
      </c>
      <c r="B85" s="76">
        <f>B54+B61+B74+B83</f>
        <v>28470520.800000001</v>
      </c>
      <c r="C85" s="76">
        <f t="shared" ref="C85:G85" si="17">C54+C61+C74+C83</f>
        <v>49073033.039999999</v>
      </c>
      <c r="D85" s="76">
        <f t="shared" si="17"/>
        <v>0</v>
      </c>
      <c r="E85" s="76">
        <f t="shared" si="17"/>
        <v>397440</v>
      </c>
      <c r="F85" s="76">
        <f t="shared" si="17"/>
        <v>1486000</v>
      </c>
      <c r="G85" s="76">
        <f t="shared" si="17"/>
        <v>79426993.840000004</v>
      </c>
      <c r="I85" s="3"/>
      <c r="J85" s="43"/>
      <c r="K85" s="42"/>
      <c r="L85" s="43"/>
      <c r="M85" s="43"/>
      <c r="N85" s="43"/>
      <c r="O85" s="43"/>
      <c r="P85" s="40"/>
    </row>
    <row r="86" spans="1:18" s="34" customFormat="1" ht="12.75" x14ac:dyDescent="0.2">
      <c r="A86" s="82" t="s">
        <v>112</v>
      </c>
      <c r="B86" s="76">
        <f>B68</f>
        <v>0</v>
      </c>
      <c r="C86" s="76">
        <f t="shared" ref="C86:G86" si="18">C68</f>
        <v>0</v>
      </c>
      <c r="D86" s="76">
        <f t="shared" si="18"/>
        <v>0</v>
      </c>
      <c r="E86" s="76">
        <f t="shared" si="18"/>
        <v>0</v>
      </c>
      <c r="F86" s="76">
        <f t="shared" si="18"/>
        <v>2686800</v>
      </c>
      <c r="G86" s="76">
        <f t="shared" si="18"/>
        <v>2686800</v>
      </c>
      <c r="I86" s="3"/>
      <c r="J86" s="43"/>
      <c r="K86" s="42"/>
      <c r="L86" s="43"/>
      <c r="M86" s="43"/>
      <c r="N86" s="43"/>
      <c r="O86" s="43"/>
      <c r="P86" s="40"/>
    </row>
    <row r="87" spans="1:18" s="34" customFormat="1" ht="12.75" x14ac:dyDescent="0.2">
      <c r="A87" s="82" t="s">
        <v>113</v>
      </c>
      <c r="B87" s="76">
        <f>B85+B86</f>
        <v>28470520.800000001</v>
      </c>
      <c r="C87" s="76">
        <f t="shared" ref="C87:G87" si="19">C85+C86</f>
        <v>49073033.039999999</v>
      </c>
      <c r="D87" s="76">
        <f t="shared" si="19"/>
        <v>0</v>
      </c>
      <c r="E87" s="76">
        <f t="shared" si="19"/>
        <v>397440</v>
      </c>
      <c r="F87" s="76">
        <f t="shared" si="19"/>
        <v>4172800</v>
      </c>
      <c r="G87" s="76">
        <f t="shared" si="19"/>
        <v>82113793.840000004</v>
      </c>
      <c r="I87" s="3"/>
      <c r="J87" s="43"/>
      <c r="K87" s="42"/>
      <c r="L87" s="43"/>
      <c r="M87" s="43"/>
      <c r="N87" s="43"/>
      <c r="O87" s="43"/>
      <c r="P87" s="40"/>
    </row>
    <row r="88" spans="1:18" s="34" customFormat="1" ht="13.5" thickBot="1" x14ac:dyDescent="0.25">
      <c r="A88" s="99" t="s">
        <v>114</v>
      </c>
      <c r="B88" s="100">
        <f>SUM(B12:B17)+B19-B85</f>
        <v>2204577.9400000013</v>
      </c>
      <c r="C88" s="100">
        <f t="shared" ref="C88:G88" si="20">SUM(C12:C17)+C19-C85</f>
        <v>28938098.980000012</v>
      </c>
      <c r="D88" s="100">
        <f t="shared" si="20"/>
        <v>23464014</v>
      </c>
      <c r="E88" s="100">
        <f t="shared" si="20"/>
        <v>2477560</v>
      </c>
      <c r="F88" s="100">
        <f t="shared" si="20"/>
        <v>9254402.4400000013</v>
      </c>
      <c r="G88" s="100">
        <f t="shared" si="20"/>
        <v>66338653.359999985</v>
      </c>
      <c r="I88" s="3"/>
      <c r="J88" s="43"/>
      <c r="K88" s="42"/>
      <c r="L88" s="43"/>
      <c r="M88" s="43"/>
      <c r="N88" s="43"/>
      <c r="O88" s="43"/>
      <c r="P88" s="40"/>
    </row>
    <row r="89" spans="1:18" s="103" customFormat="1" ht="13.5" thickBot="1" x14ac:dyDescent="0.25">
      <c r="A89" s="101" t="s">
        <v>115</v>
      </c>
      <c r="B89" s="102">
        <f>B18-B68</f>
        <v>0</v>
      </c>
      <c r="C89" s="102">
        <f t="shared" ref="C89:G89" si="21">C18-C68</f>
        <v>0</v>
      </c>
      <c r="D89" s="102">
        <f t="shared" si="21"/>
        <v>0</v>
      </c>
      <c r="E89" s="102">
        <f t="shared" si="21"/>
        <v>200000</v>
      </c>
      <c r="F89" s="102">
        <f t="shared" si="21"/>
        <v>4183531</v>
      </c>
      <c r="G89" s="102">
        <f t="shared" si="21"/>
        <v>4383531</v>
      </c>
      <c r="I89" s="104"/>
      <c r="J89" s="105"/>
      <c r="K89" s="106"/>
      <c r="L89" s="105"/>
      <c r="M89" s="105"/>
      <c r="N89" s="105"/>
      <c r="O89" s="105"/>
      <c r="P89" s="107"/>
    </row>
    <row r="90" spans="1:18" s="34" customFormat="1" ht="13.5" thickBot="1" x14ac:dyDescent="0.25">
      <c r="A90" s="99" t="s">
        <v>116</v>
      </c>
      <c r="B90" s="100">
        <f>B20-SUM(B85:B86)</f>
        <v>2204577.9400000013</v>
      </c>
      <c r="C90" s="100">
        <f t="shared" ref="C90:G90" si="22">C20-SUM(C85:C86)</f>
        <v>28938098.980000012</v>
      </c>
      <c r="D90" s="100">
        <f t="shared" si="22"/>
        <v>23464014</v>
      </c>
      <c r="E90" s="100">
        <f t="shared" si="22"/>
        <v>2677560</v>
      </c>
      <c r="F90" s="100">
        <f t="shared" si="22"/>
        <v>13437933.440000001</v>
      </c>
      <c r="G90" s="100">
        <f t="shared" si="22"/>
        <v>70722184.359999985</v>
      </c>
      <c r="I90" s="3"/>
      <c r="J90" s="43"/>
      <c r="K90" s="42"/>
      <c r="L90" s="43"/>
      <c r="M90" s="43"/>
      <c r="N90" s="43"/>
      <c r="O90" s="43"/>
      <c r="P90" s="40"/>
    </row>
    <row r="92" spans="1:18" ht="14.45" customHeight="1" x14ac:dyDescent="0.25">
      <c r="A92" s="108" t="s">
        <v>117</v>
      </c>
      <c r="B92" s="108"/>
      <c r="C92" s="108"/>
      <c r="D92" s="108"/>
      <c r="E92" s="108"/>
      <c r="F92" s="108"/>
      <c r="G92" s="108"/>
    </row>
    <row r="93" spans="1:18" ht="14.45" customHeight="1" x14ac:dyDescent="0.25">
      <c r="A93" s="109"/>
      <c r="B93" s="109"/>
      <c r="C93" s="109"/>
      <c r="D93" s="109"/>
      <c r="E93" s="109"/>
      <c r="F93" s="109"/>
      <c r="G93" s="109"/>
    </row>
    <row r="94" spans="1:18" ht="15.75" customHeight="1" x14ac:dyDescent="0.25">
      <c r="A94" s="109"/>
      <c r="B94" s="109"/>
      <c r="C94" s="109"/>
      <c r="D94" s="109"/>
      <c r="F94" s="110"/>
      <c r="G94" s="111"/>
    </row>
    <row r="95" spans="1:18" x14ac:dyDescent="0.25">
      <c r="C95" s="110"/>
      <c r="D95" s="110"/>
      <c r="E95" s="110"/>
      <c r="F95" s="110"/>
      <c r="G95" s="110"/>
    </row>
    <row r="96" spans="1:18" s="115" customFormat="1" x14ac:dyDescent="0.25">
      <c r="A96" s="112" t="s">
        <v>121</v>
      </c>
      <c r="B96" s="113" t="s">
        <v>122</v>
      </c>
      <c r="C96" s="113"/>
      <c r="D96" s="114"/>
      <c r="E96" s="112" t="s">
        <v>123</v>
      </c>
      <c r="G96" s="116"/>
      <c r="I96" s="117"/>
      <c r="J96" s="118"/>
      <c r="K96" s="119"/>
      <c r="L96" s="118"/>
      <c r="M96" s="118"/>
      <c r="N96" s="118"/>
      <c r="O96" s="118"/>
      <c r="P96" s="120"/>
    </row>
    <row r="97" spans="1:5" x14ac:dyDescent="0.25">
      <c r="A97" s="121" t="s">
        <v>118</v>
      </c>
      <c r="B97" s="122" t="s">
        <v>119</v>
      </c>
      <c r="C97" s="122"/>
      <c r="E97" s="121" t="s">
        <v>120</v>
      </c>
    </row>
  </sheetData>
  <sheetProtection password="D2BC" sheet="1" objects="1" scenarios="1"/>
  <mergeCells count="16">
    <mergeCell ref="I7:I10"/>
    <mergeCell ref="B8:B10"/>
    <mergeCell ref="C8:C10"/>
    <mergeCell ref="A92:G92"/>
    <mergeCell ref="B96:C96"/>
    <mergeCell ref="B97:C97"/>
    <mergeCell ref="A1:D1"/>
    <mergeCell ref="A3:G3"/>
    <mergeCell ref="A4:G4"/>
    <mergeCell ref="A6:G6"/>
    <mergeCell ref="A7:A10"/>
    <mergeCell ref="B7:C7"/>
    <mergeCell ref="D7:D10"/>
    <mergeCell ref="E7:E10"/>
    <mergeCell ref="F7:F10"/>
    <mergeCell ref="G7:G10"/>
  </mergeCells>
  <pageMargins left="0.5" right="0.5" top="0.5" bottom="0.5" header="0.31496062992126" footer="0.25"/>
  <pageSetup paperSize="256" orientation="landscape" horizontalDpi="0" verticalDpi="0" r:id="rId1"/>
  <headerFooter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LDRRMFU Dec 31 2020 revised</vt:lpstr>
      <vt:lpstr>'LDRRMFU Dec 31 2020 revised'!Print_Area</vt:lpstr>
      <vt:lpstr>'LDRRMFU Dec 31 2020 revised'!Print_Titles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gerald</cp:lastModifiedBy>
  <dcterms:created xsi:type="dcterms:W3CDTF">2021-02-16T21:38:00Z</dcterms:created>
  <dcterms:modified xsi:type="dcterms:W3CDTF">2021-02-16T21:39:28Z</dcterms:modified>
</cp:coreProperties>
</file>